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l+rJhZzPy0wBdZknkpTDs/hJkstP38L4l77Bd/gvDfPCGNlUWh09GnIle4PsodE3TPeTKXwoTaLLSqmY/kDAbg==" workbookSaltValue="TfkS2P28aeBZtqyoh2K2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AO16" i="11"/>
  <c r="F10" i="10"/>
  <c r="N11" i="11"/>
  <c r="ES19" i="8"/>
  <c r="S19" i="13"/>
  <c r="AG19" i="19"/>
  <c r="F9" i="11"/>
  <c r="R8" i="9"/>
  <c r="X12" i="21" s="1"/>
  <c r="CI19" i="8"/>
  <c r="AE19" i="8"/>
  <c r="EP19" i="8"/>
  <c r="ER19" i="13"/>
  <c r="AL13" i="16"/>
  <c r="BH9" i="16"/>
  <c r="V15" i="11"/>
  <c r="BJ17" i="11"/>
  <c r="BH15" i="11"/>
  <c r="BH15" i="16"/>
  <c r="Q17" i="20"/>
  <c r="Q18" i="20" s="1"/>
  <c r="V11" i="16"/>
  <c r="BF17" i="11"/>
  <c r="BF16" i="11"/>
  <c r="S17" i="16"/>
  <c r="BL12" i="11"/>
  <c r="S13" i="16"/>
  <c r="H18" i="16"/>
  <c r="P13" i="16"/>
  <c r="AN13" i="20"/>
  <c r="F15" i="17"/>
  <c r="X11" i="17"/>
  <c r="F17" i="17"/>
  <c r="AQ17" i="17" s="1"/>
  <c r="H15" i="2"/>
  <c r="M13" i="2"/>
  <c r="N13" i="2"/>
  <c r="AO9" i="11"/>
  <c r="AO12" i="11"/>
  <c r="L12" i="14"/>
  <c r="B12" i="6"/>
  <c r="AC10" i="11"/>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BF15" i="8"/>
  <c r="BD12" i="8"/>
  <c r="H12" i="7" s="1"/>
  <c r="BD9" i="8"/>
  <c r="BA13" i="8"/>
  <c r="L10" i="2"/>
  <c r="AV18" i="17"/>
  <c r="J18" i="17"/>
  <c r="L15" i="2"/>
  <c r="L16" i="2"/>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O17" i="11" l="1"/>
  <c r="C17" i="6"/>
  <c r="B17" i="6"/>
  <c r="AY18" i="8"/>
  <c r="AJ19" i="8"/>
  <c r="Y19" i="8"/>
  <c r="B16" i="6"/>
  <c r="S19" i="8"/>
  <c r="C18" i="7"/>
  <c r="AW18" i="21"/>
  <c r="B18" i="2"/>
  <c r="C11" i="6"/>
  <c r="AY13" i="8"/>
  <c r="AY19" i="8" s="1"/>
  <c r="H13" i="12"/>
  <c r="BE9" i="8"/>
  <c r="C19" i="3"/>
  <c r="F9" i="2"/>
  <c r="H12" i="2"/>
  <c r="M18" i="2"/>
  <c r="N18" i="2"/>
  <c r="AL11" i="11"/>
  <c r="B9" i="6"/>
  <c r="E11" i="6"/>
  <c r="C10" i="6"/>
  <c r="BE15" i="13"/>
  <c r="BA18" i="13"/>
  <c r="BF18" i="13" s="1"/>
  <c r="BG15" i="8"/>
  <c r="K15" i="7" s="1"/>
  <c r="E15" i="6"/>
  <c r="BD15" i="8"/>
  <c r="H15" i="7" s="1"/>
  <c r="BE15" i="8"/>
  <c r="I15" i="7" s="1"/>
  <c r="BG16" i="8"/>
  <c r="K16" i="7" s="1"/>
  <c r="E18" i="2"/>
  <c r="AL15" i="11"/>
  <c r="L16" i="14"/>
  <c r="F15" i="11"/>
  <c r="F16" i="17"/>
  <c r="F18" i="17" s="1"/>
  <c r="E9" i="6"/>
  <c r="BF9" i="13"/>
  <c r="D11" i="12"/>
  <c r="D12" i="12"/>
  <c r="BF11" i="8"/>
  <c r="BF9" i="8"/>
  <c r="J9" i="7" s="1"/>
  <c r="BG9" i="8"/>
  <c r="K9" i="7" s="1"/>
  <c r="BD11" i="8"/>
  <c r="BE11" i="8"/>
  <c r="BG12" i="8"/>
  <c r="BE12" i="8"/>
  <c r="L11" i="14"/>
  <c r="F12" i="11"/>
  <c r="AQ12" i="11" s="1"/>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AP16" i="20"/>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G18" i="2"/>
  <c r="L17" i="14"/>
  <c r="H11" i="7"/>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8" i="6" l="1"/>
  <c r="AQ16" i="17"/>
  <c r="K16" i="12"/>
  <c r="I15" i="12"/>
  <c r="K15" i="12"/>
  <c r="B19" i="7"/>
  <c r="D19" i="5"/>
  <c r="F19" i="7"/>
  <c r="I11" i="12"/>
  <c r="D19" i="12"/>
  <c r="G19" i="7"/>
  <c r="G21" i="11"/>
  <c r="AM13" i="11"/>
  <c r="K9" i="12"/>
  <c r="BD18" i="13"/>
  <c r="AL18" i="11"/>
  <c r="F18" i="11"/>
  <c r="C18" i="6"/>
  <c r="J9" i="12"/>
  <c r="Y13" i="11"/>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21"/>
  <c r="AX20" i="16"/>
  <c r="AB20" i="21"/>
  <c r="AA20" i="16"/>
  <c r="AL20" i="16"/>
  <c r="AN20" i="11"/>
  <c r="AI20" i="21"/>
  <c r="AM20" i="16"/>
  <c r="AR20" i="11"/>
  <c r="BC20" i="21"/>
  <c r="V20" i="16"/>
  <c r="K20" i="12"/>
  <c r="U20" i="16"/>
  <c r="M20" i="11"/>
  <c r="AI20" i="11"/>
  <c r="AD20" i="16"/>
  <c r="AG20" i="21"/>
  <c r="F20" i="12"/>
  <c r="R20" i="11"/>
  <c r="H20" i="21"/>
  <c r="Y20" i="11"/>
  <c r="K20" i="16"/>
  <c r="AG20" i="17"/>
  <c r="P20" i="17"/>
  <c r="U20" i="11"/>
  <c r="BC20" i="16"/>
  <c r="AE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M20" i="17"/>
  <c r="J20" i="11"/>
  <c r="P20" i="11"/>
  <c r="S20" i="21"/>
  <c r="E20" i="11"/>
  <c r="Y20" i="16"/>
  <c r="AG20" i="16"/>
  <c r="E20" i="17"/>
  <c r="Z20" i="17"/>
  <c r="AE20" i="17"/>
  <c r="AR20" i="20"/>
  <c r="Q20" i="16"/>
  <c r="Q20" i="11"/>
  <c r="V20" i="17"/>
  <c r="X20" i="21"/>
  <c r="AH20" i="21"/>
  <c r="AB20" i="1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<sst xmlns="http://schemas.openxmlformats.org/spreadsheetml/2006/main" count="2074" uniqueCount="910">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</sst>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0ZQXkPZyCbH+Lvia7iVZUHwZQgqhPwe48sok3/yqbiD5hct+XHM6FTaXipv76+IX1ZpZU42/OZkZ6WpGBz+/g==" saltValue="YC03JefyAsUV1eVHH56V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31.599264705882351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30.861111111111107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2177</v>
      </c>
      <c r="D15" s="224">
        <f>IF(ISNUMBER(IF(D_I="SI",Datos!I15,Datos!I15+Datos!AC15)),IF(D_I="SI",Datos!I15,Datos!I15+Datos!AC15)," - ")</f>
        <v>2118</v>
      </c>
      <c r="E15" s="225">
        <f>IF(ISNUMBER(IF(D_I="SI",Datos!J15,Datos!J15+Datos!AD15)),IF(D_I="SI",Datos!J15,Datos!J15+Datos!AD15)," - ")</f>
        <v>3351</v>
      </c>
      <c r="F15" s="225">
        <f>IF(ISNUMBER(IF(D_I="SI",Datos!K15,Datos!K15+Datos!AE15)),IF(D_I="SI",Datos!K15,Datos!K15+Datos!AE15)," - ")</f>
        <v>3423</v>
      </c>
      <c r="G15" s="1033" t="str">
        <f>IF(Datos!E15&lt;&gt;"",Datos!E15,Datos!D15)</f>
        <v>03</v>
      </c>
      <c r="H15" s="226">
        <f>IF(ISNUMBER(IF(D_I="SI",Datos!L15,Datos!L15+Datos!AF15)),IF(D_I="SI",Datos!L15,Datos!L15+Datos!AF15)," - ")</f>
        <v>2105</v>
      </c>
      <c r="I15" s="1043" t="str">
        <f>IF(ISNUMBER(Datos!AS15/Datos!BM15),Datos!AS15/Datos!BM15," - ")</f>
        <v xml:space="preserve"> - </v>
      </c>
      <c r="J15" s="1044">
        <f>IF(ISNUMBER(Datos!BY15/Datos!CN15),Datos!BY15/Datos!CN15," - ")</f>
        <v>0</v>
      </c>
      <c r="K15" s="229">
        <f t="shared" ref="K15:K17" si="3">IF(ISNUMBER((E15-F15)/C15),(E15-F15)/C15," - ")</f>
        <v>-3.3073036288470373E-2</v>
      </c>
      <c r="L15" s="1024">
        <f>IF(ISNUMBER(NºAsuntos!I15/NºAsuntos!G15),(NºAsuntos!I15/NºAsuntos!G15)*11," - ")</f>
        <v>6.7645340344726845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9</v>
      </c>
      <c r="D16" s="224">
        <f>IF(ISNUMBER(IF(D_I="SI",Datos!I16,Datos!I16+Datos!AC16)),IF(D_I="SI",Datos!I16,Datos!I16+Datos!AC16)," - ")</f>
        <v>9</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9</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2189</v>
      </c>
      <c r="D18" s="1048">
        <f>SUBTOTAL(9,D15:D17)</f>
        <v>2130</v>
      </c>
      <c r="E18" s="1049">
        <f>SUBTOTAL(9,E15:E17)</f>
        <v>3351</v>
      </c>
      <c r="F18" s="1049">
        <f>SUBTOTAL(9,F15:F17)</f>
        <v>3425</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2191</v>
      </c>
      <c r="D19" s="1070">
        <f>SUBTOTAL(9,D9:D18)</f>
        <v>2132</v>
      </c>
      <c r="E19" s="1071">
        <f>SUBTOTAL(9,E9:E18)</f>
        <v>3351</v>
      </c>
      <c r="F19" s="1071">
        <f>SUBTOTAL(9,F9:F18)</f>
        <v>3425</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3wgTBX+5lG4SqGP1WbCvz4fTnxZlWJ3Q0Lgwm2AaK34zC2nDHWUL+a4ujlCsIGLNWh53359UI8mJy2bUO7ppSA==" saltValue="T1hqStxNf5Y0xRLD8hgZ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pcmItouVUfyCLN2T5viMZiYFbVXn7twDnoSM3l+1W95L+0JPOIshbaVX1We7SRKE+8ekJ9JuN0FnHfObjo43w==" saltValue="lGoMdFFGB/hcqyJ9THR8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8942</v>
      </c>
      <c r="J9" s="180">
        <v>2381</v>
      </c>
      <c r="K9" s="180">
        <v>2862</v>
      </c>
      <c r="L9" s="180">
        <v>8461</v>
      </c>
      <c r="M9" s="180">
        <v>1531</v>
      </c>
      <c r="N9" s="180">
        <v>999</v>
      </c>
      <c r="O9" s="180">
        <v>537</v>
      </c>
      <c r="P9" s="180">
        <v>850</v>
      </c>
      <c r="Q9" s="180">
        <v>207</v>
      </c>
      <c r="R9" s="180">
        <v>13933</v>
      </c>
      <c r="S9" s="180">
        <v>9719</v>
      </c>
      <c r="T9" s="180">
        <v>3242</v>
      </c>
      <c r="U9" s="180">
        <v>4597</v>
      </c>
      <c r="V9" s="180">
        <v>8440</v>
      </c>
      <c r="W9" s="180">
        <v>1838</v>
      </c>
      <c r="X9" s="187">
        <v>1463</v>
      </c>
      <c r="Y9" s="190">
        <v>113</v>
      </c>
      <c r="Z9" s="180">
        <v>151</v>
      </c>
      <c r="AA9" s="180">
        <v>130</v>
      </c>
      <c r="AB9" s="180">
        <v>134</v>
      </c>
      <c r="AC9" s="180">
        <v>0</v>
      </c>
      <c r="AD9" s="180">
        <v>0</v>
      </c>
      <c r="AE9" s="180">
        <v>0</v>
      </c>
      <c r="AF9" s="187">
        <v>0</v>
      </c>
      <c r="AG9" s="190">
        <v>129</v>
      </c>
      <c r="AH9" s="180">
        <v>100</v>
      </c>
      <c r="AI9" s="180">
        <v>114</v>
      </c>
      <c r="AJ9" s="191">
        <v>113</v>
      </c>
      <c r="AK9" s="179">
        <v>0</v>
      </c>
      <c r="AL9" s="180">
        <v>0</v>
      </c>
      <c r="AM9" s="180">
        <v>0</v>
      </c>
      <c r="AN9" s="187">
        <v>0</v>
      </c>
      <c r="AO9" s="257">
        <v>7</v>
      </c>
      <c r="AP9" s="153">
        <v>7</v>
      </c>
      <c r="AQ9" s="153">
        <v>7</v>
      </c>
      <c r="AR9" s="192">
        <v>7</v>
      </c>
      <c r="AS9" s="337" t="s">
        <v>783</v>
      </c>
      <c r="AT9" s="194"/>
      <c r="AU9" s="193"/>
      <c r="AV9" s="194"/>
      <c r="AW9" s="193"/>
      <c r="AX9" s="194"/>
      <c r="AY9" s="123">
        <f>IF(ISNUMBER(IF(J_V="SI",S9,S9+AG9)),IF(J_V="SI",S9,S9+AG9)," - ")</f>
        <v>9848</v>
      </c>
      <c r="AZ9" s="123">
        <f>IF(ISNUMBER(IF(J_V="SI",T9,T9+AH9)),IF(J_V="SI",T9,T9+AH9)," - ")</f>
        <v>3342</v>
      </c>
      <c r="BA9" s="124">
        <f>IF(ISNUMBER(IF(J_V="SI",U9,U9+AI9)),IF(J_V="SI",U9,U9+AI9)," - ")</f>
        <v>4711</v>
      </c>
      <c r="BB9" s="124">
        <f>IF(ISNUMBER(IF(J_V="SI",V9,V9+AJ9)),IF(J_V="SI",V9,V9+AJ9)," - ")</f>
        <v>8553</v>
      </c>
      <c r="BC9" s="125">
        <f>IF(ISNUMBER(X9),X9," - ")</f>
        <v>1463</v>
      </c>
      <c r="BD9" s="126">
        <f>IF(ISNUMBER(BA9/AZ9),BA9/AZ9," - ")</f>
        <v>1.4096349491322562</v>
      </c>
      <c r="BE9" s="127">
        <f>IF(ISNUMBER(BB9/BA9),BB9/BA9, " - ")</f>
        <v>1.8155381023137338</v>
      </c>
      <c r="BF9" s="127">
        <f>IF(ISNUMBER(BC9/BA9),BC9/BA9, " - ")</f>
        <v>0.31054977711738485</v>
      </c>
      <c r="BG9" s="195">
        <f>IF(ISNUMBER((AY9+AZ9)/BA9),(AY9+AZ9)/BA9," - ")</f>
        <v>2.7998301846741667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2</v>
      </c>
      <c r="J10" s="180">
        <v>0</v>
      </c>
      <c r="K10" s="180">
        <v>0</v>
      </c>
      <c r="L10" s="180">
        <v>2</v>
      </c>
      <c r="M10" s="180">
        <v>0</v>
      </c>
      <c r="N10" s="180">
        <v>0</v>
      </c>
      <c r="O10" s="180">
        <v>0</v>
      </c>
      <c r="P10" s="180">
        <v>0</v>
      </c>
      <c r="Q10" s="180">
        <v>0</v>
      </c>
      <c r="R10" s="180">
        <v>66</v>
      </c>
      <c r="S10" s="180">
        <v>13</v>
      </c>
      <c r="T10" s="180">
        <v>1</v>
      </c>
      <c r="U10" s="180">
        <v>3</v>
      </c>
      <c r="V10" s="180">
        <v>11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13</v>
      </c>
      <c r="AZ10" s="129">
        <f t="shared" si="0"/>
        <v>1</v>
      </c>
      <c r="BA10" s="129">
        <f t="shared" si="0"/>
        <v>3</v>
      </c>
      <c r="BB10" s="129">
        <f t="shared" si="0"/>
        <v>11</v>
      </c>
      <c r="BC10" s="125">
        <f t="shared" si="0"/>
        <v>1</v>
      </c>
      <c r="BD10" s="126">
        <f>IF(ISNUMBER(BA10/AZ10),BA10/AZ10," - ")</f>
        <v>3</v>
      </c>
      <c r="BE10" s="127">
        <f>IF(ISNUMBER(BB10/BA10),BB10/BA10, " - ")</f>
        <v>3.6666666666666665</v>
      </c>
      <c r="BF10" s="127">
        <f>IF(ISNUMBER(BC10/BA10),BC10/BA10, " - ")</f>
        <v>0.33333333333333331</v>
      </c>
      <c r="BG10" s="195">
        <f>IF(ISNUMBER((AY10+AZ10)/BA10),(AY10+AZ10)/BA10," - ")</f>
        <v>4.666666666666667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428</v>
      </c>
      <c r="J11" s="182">
        <v>290</v>
      </c>
      <c r="K11" s="182">
        <v>196</v>
      </c>
      <c r="L11" s="182">
        <v>522</v>
      </c>
      <c r="M11" s="182">
        <v>117</v>
      </c>
      <c r="N11" s="182">
        <v>38</v>
      </c>
      <c r="O11" s="180">
        <v>2</v>
      </c>
      <c r="P11" s="182">
        <v>3</v>
      </c>
      <c r="Q11" s="182">
        <v>1</v>
      </c>
      <c r="R11" s="182">
        <v>9</v>
      </c>
      <c r="S11" s="182">
        <v>196</v>
      </c>
      <c r="T11" s="182">
        <v>289</v>
      </c>
      <c r="U11" s="182">
        <v>180</v>
      </c>
      <c r="V11" s="182">
        <v>305</v>
      </c>
      <c r="W11" s="182">
        <v>82</v>
      </c>
      <c r="X11" s="188">
        <v>64</v>
      </c>
      <c r="Y11" s="190">
        <v>55</v>
      </c>
      <c r="Z11" s="180">
        <v>49</v>
      </c>
      <c r="AA11" s="180">
        <v>20</v>
      </c>
      <c r="AB11" s="180">
        <v>84</v>
      </c>
      <c r="AC11" s="182">
        <v>0</v>
      </c>
      <c r="AD11" s="182">
        <v>0</v>
      </c>
      <c r="AE11" s="182">
        <v>0</v>
      </c>
      <c r="AF11" s="188">
        <v>0</v>
      </c>
      <c r="AG11" s="201">
        <v>33</v>
      </c>
      <c r="AH11" s="182">
        <v>72</v>
      </c>
      <c r="AI11" s="182">
        <v>50</v>
      </c>
      <c r="AJ11" s="202">
        <v>55</v>
      </c>
      <c r="AK11" s="181">
        <v>0</v>
      </c>
      <c r="AL11" s="182">
        <v>0</v>
      </c>
      <c r="AM11" s="182">
        <v>0</v>
      </c>
      <c r="AN11" s="188">
        <v>0</v>
      </c>
      <c r="AO11" s="258">
        <v>2</v>
      </c>
      <c r="AP11" s="154">
        <v>2</v>
      </c>
      <c r="AQ11" s="154">
        <v>1</v>
      </c>
      <c r="AR11" s="153">
        <v>1</v>
      </c>
      <c r="AS11" s="339" t="s">
        <v>785</v>
      </c>
      <c r="AT11" s="202"/>
      <c r="AU11" s="201"/>
      <c r="AV11" s="202"/>
      <c r="AW11" s="201"/>
      <c r="AX11" s="202"/>
      <c r="AY11" s="126">
        <f t="shared" ref="AY11:BB12" si="1">IF(ISNUMBER(IF(J_V="SI",S11,S11+AG11)),IF(J_V="SI",S11,S11+AG11)," - ")</f>
        <v>229</v>
      </c>
      <c r="AZ11" s="127">
        <f t="shared" si="1"/>
        <v>361</v>
      </c>
      <c r="BA11" s="127">
        <f t="shared" si="1"/>
        <v>230</v>
      </c>
      <c r="BB11" s="127">
        <f t="shared" si="1"/>
        <v>360</v>
      </c>
      <c r="BC11" s="125">
        <f>IF(ISNUMBER(X11),X11," - ")</f>
        <v>64</v>
      </c>
      <c r="BD11" s="126">
        <f t="shared" ref="BD11:BD12" si="2">IF(ISNUMBER(BA11/AZ11),BA11/AZ11," - ")</f>
        <v>0.63711911357340723</v>
      </c>
      <c r="BE11" s="127">
        <f t="shared" ref="BE11:BE12" si="3">IF(ISNUMBER(BB11/BA11),BB11/BA11, " - ")</f>
        <v>1.5652173913043479</v>
      </c>
      <c r="BF11" s="127">
        <f t="shared" ref="BF11:BF12" si="4">IF(ISNUMBER(BC11/BA11),BC11/BA11, " - ")</f>
        <v>0.27826086956521739</v>
      </c>
      <c r="BG11" s="195">
        <f t="shared" ref="BG11:BG12" si="5">IF(ISNUMBER((AY11+AZ11)/BA11),(AY11+AZ11)/BA11," - ")</f>
        <v>2.5652173913043477</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9372</v>
      </c>
      <c r="J13" s="183">
        <f t="shared" si="6"/>
        <v>2671</v>
      </c>
      <c r="K13" s="183">
        <f t="shared" si="6"/>
        <v>3058</v>
      </c>
      <c r="L13" s="183">
        <f t="shared" si="6"/>
        <v>8985</v>
      </c>
      <c r="M13" s="183">
        <f t="shared" si="6"/>
        <v>1648</v>
      </c>
      <c r="N13" s="183">
        <f t="shared" si="6"/>
        <v>1037</v>
      </c>
      <c r="O13" s="183">
        <f t="shared" si="6"/>
        <v>539</v>
      </c>
      <c r="P13" s="183">
        <f t="shared" si="6"/>
        <v>853</v>
      </c>
      <c r="Q13" s="183">
        <f t="shared" si="6"/>
        <v>208</v>
      </c>
      <c r="R13" s="183">
        <f t="shared" si="6"/>
        <v>14008</v>
      </c>
      <c r="S13" s="183">
        <f t="shared" si="6"/>
        <v>9928</v>
      </c>
      <c r="T13" s="183">
        <f t="shared" si="6"/>
        <v>3532</v>
      </c>
      <c r="U13" s="183">
        <f t="shared" si="6"/>
        <v>4780</v>
      </c>
      <c r="V13" s="183">
        <f t="shared" si="6"/>
        <v>8756</v>
      </c>
      <c r="W13" s="183">
        <f t="shared" si="6"/>
        <v>1921</v>
      </c>
      <c r="X13" s="183">
        <f t="shared" si="6"/>
        <v>1527</v>
      </c>
      <c r="Y13" s="183">
        <f t="shared" si="6"/>
        <v>168</v>
      </c>
      <c r="Z13" s="183">
        <f t="shared" si="6"/>
        <v>200</v>
      </c>
      <c r="AA13" s="183">
        <f t="shared" si="6"/>
        <v>150</v>
      </c>
      <c r="AB13" s="183">
        <f t="shared" si="6"/>
        <v>218</v>
      </c>
      <c r="AC13" s="183">
        <f t="shared" si="6"/>
        <v>0</v>
      </c>
      <c r="AD13" s="183">
        <f t="shared" si="6"/>
        <v>0</v>
      </c>
      <c r="AE13" s="183">
        <f t="shared" si="6"/>
        <v>0</v>
      </c>
      <c r="AF13" s="183">
        <f>SUBTOTAL(9,AF9:AF12)</f>
        <v>0</v>
      </c>
      <c r="AG13" s="183">
        <f t="shared" ref="AG13:AT13" si="7">SUBTOTAL(9,AG8:AG12)</f>
        <v>162</v>
      </c>
      <c r="AH13" s="183">
        <f t="shared" si="7"/>
        <v>172</v>
      </c>
      <c r="AI13" s="183">
        <f t="shared" si="7"/>
        <v>164</v>
      </c>
      <c r="AJ13" s="183">
        <f t="shared" si="7"/>
        <v>168</v>
      </c>
      <c r="AK13" s="183">
        <f t="shared" si="7"/>
        <v>0</v>
      </c>
      <c r="AL13" s="183">
        <f t="shared" si="7"/>
        <v>0</v>
      </c>
      <c r="AM13" s="183">
        <f t="shared" si="7"/>
        <v>0</v>
      </c>
      <c r="AN13" s="183">
        <f t="shared" si="7"/>
        <v>0</v>
      </c>
      <c r="AO13" s="183">
        <f t="shared" si="7"/>
        <v>10</v>
      </c>
      <c r="AP13" s="183">
        <f t="shared" si="7"/>
        <v>9</v>
      </c>
      <c r="AQ13" s="183">
        <f t="shared" si="7"/>
        <v>8</v>
      </c>
      <c r="AR13" s="183">
        <f t="shared" si="7"/>
        <v>8</v>
      </c>
      <c r="AS13" s="183">
        <f t="shared" si="7"/>
        <v>0</v>
      </c>
      <c r="AT13" s="183">
        <f t="shared" si="7"/>
        <v>0</v>
      </c>
      <c r="AU13" s="203"/>
      <c r="AV13" s="132"/>
      <c r="AW13" s="203"/>
      <c r="AX13" s="132"/>
      <c r="AY13" s="183">
        <f>SUBTOTAL(9,AY8:AY12)</f>
        <v>10090</v>
      </c>
      <c r="AZ13" s="183">
        <f>SUBTOTAL(9,AZ8:AZ12)</f>
        <v>3704</v>
      </c>
      <c r="BA13" s="183">
        <f>SUBTOTAL(9,BA8:BA12)</f>
        <v>4944</v>
      </c>
      <c r="BB13" s="183">
        <f>SUBTOTAL(9,BB8:BB12)</f>
        <v>8924</v>
      </c>
      <c r="BC13" s="183">
        <f>SUBTOTAL(9,BC8:BC12)</f>
        <v>1528</v>
      </c>
      <c r="BD13" s="204">
        <f>IF(ISNUMBER(BA13/AZ13),BA13/AZ13," - ")</f>
        <v>1.3347732181425487</v>
      </c>
      <c r="BE13" s="205">
        <f>IF(ISNUMBER(BB13/BA13),BB13/BA13, " - ")</f>
        <v>1.8050161812297734</v>
      </c>
      <c r="BF13" s="205">
        <f>IF(ISNUMBER(BC13/BA13),BC13/BA13, " - ")</f>
        <v>0.30906148867313915</v>
      </c>
      <c r="BG13" s="206">
        <f>IF(ISNUMBER((AY13+AZ13)/BA13),(AY13+AZ13)/BA13," - ")</f>
        <v>2.7900485436893203</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2118</v>
      </c>
      <c r="J15" s="182">
        <v>3351</v>
      </c>
      <c r="K15" s="182">
        <v>3423</v>
      </c>
      <c r="L15" s="182">
        <v>2105</v>
      </c>
      <c r="M15" s="182">
        <v>463</v>
      </c>
      <c r="N15" s="182">
        <v>2154</v>
      </c>
      <c r="O15" s="180">
        <v>0</v>
      </c>
      <c r="P15" s="182">
        <v>36</v>
      </c>
      <c r="Q15" s="182">
        <v>33</v>
      </c>
      <c r="R15" s="182">
        <v>482</v>
      </c>
      <c r="S15" s="182">
        <v>2003</v>
      </c>
      <c r="T15" s="182">
        <v>3140</v>
      </c>
      <c r="U15" s="182">
        <v>3282</v>
      </c>
      <c r="V15" s="182">
        <v>1911</v>
      </c>
      <c r="W15" s="182">
        <v>563</v>
      </c>
      <c r="X15" s="188">
        <v>2142</v>
      </c>
      <c r="Y15" s="201">
        <v>0</v>
      </c>
      <c r="Z15" s="182">
        <v>0</v>
      </c>
      <c r="AA15" s="182">
        <v>0</v>
      </c>
      <c r="AB15" s="182">
        <v>0</v>
      </c>
      <c r="AC15" s="182">
        <v>0</v>
      </c>
      <c r="AD15" s="182">
        <v>0</v>
      </c>
      <c r="AE15" s="182">
        <v>0</v>
      </c>
      <c r="AF15" s="188">
        <v>0</v>
      </c>
      <c r="AG15" s="201">
        <v>0</v>
      </c>
      <c r="AH15" s="182">
        <v>0</v>
      </c>
      <c r="AI15" s="182">
        <v>0</v>
      </c>
      <c r="AJ15" s="202">
        <v>0</v>
      </c>
      <c r="AK15" s="181">
        <v>0</v>
      </c>
      <c r="AL15" s="182">
        <v>2</v>
      </c>
      <c r="AM15" s="182">
        <v>2</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2003</v>
      </c>
      <c r="AZ15" s="129">
        <f t="shared" si="9"/>
        <v>3140</v>
      </c>
      <c r="BA15" s="129">
        <f t="shared" si="9"/>
        <v>3282</v>
      </c>
      <c r="BB15" s="129">
        <f t="shared" si="9"/>
        <v>1911</v>
      </c>
      <c r="BC15" s="125">
        <f>IF(ISNUMBER(W15),W15," - ")</f>
        <v>563</v>
      </c>
      <c r="BD15" s="126">
        <f>IF(ISNUMBER(BA15/AZ15),BA15/AZ15," - ")</f>
        <v>1.0452229299363058</v>
      </c>
      <c r="BE15" s="127">
        <f>IF(ISNUMBER(BB15/BA15),BB15/BA15, " - ")</f>
        <v>0.58226691042047529</v>
      </c>
      <c r="BF15" s="127">
        <f>IF(ISNUMBER(BC15/BA15),BC15/BA15, " - ")</f>
        <v>0.17154174283973186</v>
      </c>
      <c r="BG15" s="195">
        <f t="shared" ref="BG15:BG16" si="10">IF(ISNUMBER((AY15+AZ15)/BA15),(AY15+AZ15)/BA15," - ")</f>
        <v>1.5670322973796467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9</v>
      </c>
      <c r="J16" s="182">
        <v>0</v>
      </c>
      <c r="K16" s="182">
        <v>0</v>
      </c>
      <c r="L16" s="182">
        <v>9</v>
      </c>
      <c r="M16" s="182">
        <v>0</v>
      </c>
      <c r="N16" s="182">
        <v>0</v>
      </c>
      <c r="O16" s="180">
        <v>0</v>
      </c>
      <c r="P16" s="182">
        <v>0</v>
      </c>
      <c r="Q16" s="182">
        <v>0</v>
      </c>
      <c r="R16" s="182">
        <v>0</v>
      </c>
      <c r="S16" s="182">
        <v>10</v>
      </c>
      <c r="T16" s="182">
        <v>0</v>
      </c>
      <c r="U16" s="182">
        <v>0</v>
      </c>
      <c r="V16" s="182">
        <v>10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v>
      </c>
      <c r="J17" s="182">
        <v>0</v>
      </c>
      <c r="K17" s="182">
        <v>2</v>
      </c>
      <c r="L17" s="182">
        <v>1</v>
      </c>
      <c r="M17" s="182">
        <v>0</v>
      </c>
      <c r="N17" s="182">
        <v>0</v>
      </c>
      <c r="O17" s="182">
        <v>0</v>
      </c>
      <c r="P17" s="182">
        <v>0</v>
      </c>
      <c r="Q17" s="182">
        <v>0</v>
      </c>
      <c r="R17" s="182">
        <v>0</v>
      </c>
      <c r="S17" s="182">
        <v>20</v>
      </c>
      <c r="T17" s="182">
        <v>0</v>
      </c>
      <c r="U17" s="182">
        <v>1</v>
      </c>
      <c r="V17" s="182">
        <v>19</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20</v>
      </c>
      <c r="AZ17" s="129">
        <f t="shared" si="14"/>
        <v>0</v>
      </c>
      <c r="BA17" s="129">
        <f t="shared" si="14"/>
        <v>1</v>
      </c>
      <c r="BB17" s="129">
        <f t="shared" si="14"/>
        <v>19</v>
      </c>
      <c r="BC17" s="125">
        <f>IF(ISNUMBER(W17),W17," - ")</f>
        <v>0</v>
      </c>
      <c r="BD17" s="126" t="str">
        <f>IF(ISNUMBER(BA17/AZ17),BA17/AZ17," - ")</f>
        <v xml:space="preserve"> - </v>
      </c>
      <c r="BE17" s="127">
        <f>IF(ISNUMBER(BB17/BA17),BB17/BA17, " - ")</f>
        <v>19</v>
      </c>
      <c r="BF17" s="127">
        <f>IF(ISNUMBER(BC17/BA17),BC17/BA17, " - ")</f>
        <v>0</v>
      </c>
      <c r="BG17" s="195">
        <f>IF(ISNUMBER((AY17+AZ17)/BA17),(AY17+AZ17)/BA17," - ")</f>
        <v>20</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2130</v>
      </c>
      <c r="J18" s="183">
        <f t="shared" si="15"/>
        <v>3351</v>
      </c>
      <c r="K18" s="183">
        <f t="shared" si="15"/>
        <v>3425</v>
      </c>
      <c r="L18" s="183">
        <f t="shared" si="15"/>
        <v>2115</v>
      </c>
      <c r="M18" s="183">
        <f t="shared" si="15"/>
        <v>463</v>
      </c>
      <c r="N18" s="183">
        <f t="shared" si="15"/>
        <v>2154</v>
      </c>
      <c r="O18" s="183">
        <f t="shared" si="15"/>
        <v>0</v>
      </c>
      <c r="P18" s="183">
        <f t="shared" si="15"/>
        <v>36</v>
      </c>
      <c r="Q18" s="183">
        <f t="shared" si="15"/>
        <v>33</v>
      </c>
      <c r="R18" s="183">
        <f t="shared" si="15"/>
        <v>482</v>
      </c>
      <c r="S18" s="183">
        <f t="shared" si="15"/>
        <v>2033</v>
      </c>
      <c r="T18" s="183">
        <f t="shared" si="15"/>
        <v>3140</v>
      </c>
      <c r="U18" s="183">
        <f t="shared" si="15"/>
        <v>3283</v>
      </c>
      <c r="V18" s="183">
        <f t="shared" si="15"/>
        <v>1940</v>
      </c>
      <c r="W18" s="183">
        <f t="shared" si="15"/>
        <v>563</v>
      </c>
      <c r="X18" s="183">
        <f t="shared" si="15"/>
        <v>2142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2033</v>
      </c>
      <c r="AZ18" s="183">
        <f>SUBTOTAL(9,AZ14:AZ17)</f>
        <v>3140</v>
      </c>
      <c r="BA18" s="183">
        <f>SUBTOTAL(9,BA14:BA17)</f>
        <v>3283</v>
      </c>
      <c r="BB18" s="183">
        <f>SUBTOTAL(9,BB14:BB17)</f>
        <v>1940</v>
      </c>
      <c r="BC18" s="183">
        <f>SUBTOTAL(9,BC14:BC17)</f>
        <v>563</v>
      </c>
      <c r="BD18" s="204">
        <f>IF(ISNUMBER(BA18/AZ18),BA18/AZ18," - ")</f>
        <v>1.0455414012738853</v>
      </c>
      <c r="BE18" s="205">
        <f>IF(ISNUMBER(BB18/BA18),BB18/BA18, " - ")</f>
        <v>0.59092293633871462</v>
      </c>
      <c r="BF18" s="205">
        <f>IF(ISNUMBER(BC18/BA18),BC18/BA18, " - ")</f>
        <v>0.17148949131891564</v>
      </c>
      <c r="BG18" s="206">
        <f>IF(ISNUMBER((AY18+AZ18)/BA18),(AY18+AZ18)/BA18," - ")</f>
        <v>1.5756929637526653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11502</v>
      </c>
      <c r="J19" s="134">
        <f t="shared" si="18"/>
        <v>6022</v>
      </c>
      <c r="K19" s="134">
        <f t="shared" si="18"/>
        <v>6483</v>
      </c>
      <c r="L19" s="134">
        <f t="shared" si="18"/>
        <v>11100</v>
      </c>
      <c r="M19" s="134">
        <f t="shared" si="18"/>
        <v>2111</v>
      </c>
      <c r="N19" s="134">
        <f t="shared" si="18"/>
        <v>3191</v>
      </c>
      <c r="O19" s="134">
        <f t="shared" si="18"/>
        <v>539</v>
      </c>
      <c r="P19" s="134">
        <f t="shared" si="18"/>
        <v>889</v>
      </c>
      <c r="Q19" s="134">
        <f t="shared" si="18"/>
        <v>241</v>
      </c>
      <c r="R19" s="134">
        <f t="shared" si="18"/>
        <v>14490</v>
      </c>
      <c r="S19" s="134">
        <f t="shared" si="18"/>
        <v>11961</v>
      </c>
      <c r="T19" s="134">
        <f t="shared" si="18"/>
        <v>6672</v>
      </c>
      <c r="U19" s="134">
        <f t="shared" si="18"/>
        <v>8063</v>
      </c>
      <c r="V19" s="134">
        <f t="shared" si="18"/>
        <v>10696</v>
      </c>
      <c r="W19" s="134">
        <f t="shared" si="18"/>
        <v>2484</v>
      </c>
      <c r="X19" s="134">
        <f t="shared" si="18"/>
        <v>3669</v>
      </c>
      <c r="Y19" s="134">
        <f t="shared" si="18"/>
        <v>168</v>
      </c>
      <c r="Z19" s="134">
        <f t="shared" si="18"/>
        <v>200</v>
      </c>
      <c r="AA19" s="134">
        <f t="shared" si="18"/>
        <v>150</v>
      </c>
      <c r="AB19" s="134">
        <f t="shared" si="18"/>
        <v>218</v>
      </c>
      <c r="AC19" s="134">
        <f t="shared" si="18"/>
        <v>0</v>
      </c>
      <c r="AD19" s="134">
        <f t="shared" si="18"/>
        <v>0</v>
      </c>
      <c r="AE19" s="134">
        <f t="shared" si="18"/>
        <v>0</v>
      </c>
      <c r="AF19" s="134">
        <f t="shared" si="18"/>
        <v>0</v>
      </c>
      <c r="AG19" s="134">
        <f t="shared" si="18"/>
        <v>162</v>
      </c>
      <c r="AH19" s="134">
        <f t="shared" si="18"/>
        <v>172</v>
      </c>
      <c r="AI19" s="134">
        <f t="shared" si="18"/>
        <v>164</v>
      </c>
      <c r="AJ19" s="134">
        <f t="shared" si="18"/>
        <v>168</v>
      </c>
      <c r="AK19" s="134">
        <f t="shared" si="18"/>
        <v>0</v>
      </c>
      <c r="AL19" s="134">
        <f t="shared" si="18"/>
        <v>2</v>
      </c>
      <c r="AM19" s="134">
        <f t="shared" si="18"/>
        <v>2</v>
      </c>
      <c r="AN19" s="209">
        <f t="shared" si="18"/>
        <v>0</v>
      </c>
      <c r="AO19" s="210">
        <v>14</v>
      </c>
      <c r="AP19" s="210">
        <v>13</v>
      </c>
      <c r="AQ19" s="210">
        <v>12</v>
      </c>
      <c r="AR19" s="210">
        <v>12</v>
      </c>
      <c r="AS19" s="152">
        <f t="shared" si="18"/>
        <v>0</v>
      </c>
      <c r="AT19" s="152">
        <f t="shared" si="18"/>
        <v>0</v>
      </c>
      <c r="AU19" s="210"/>
      <c r="AV19" s="211"/>
      <c r="AW19" s="210"/>
      <c r="AX19" s="211"/>
      <c r="AY19" s="133">
        <f>SUBTOTAL(9,AY9:AY18)</f>
        <v>12123</v>
      </c>
      <c r="AZ19" s="134">
        <f>SUBTOTAL(9,AZ9:AZ18)</f>
        <v>6844</v>
      </c>
      <c r="BA19" s="134">
        <f>SUBTOTAL(9,BA9:BA18)</f>
        <v>8227</v>
      </c>
      <c r="BB19" s="134">
        <f>SUBTOTAL(9,BB9:BB18)</f>
        <v>10864</v>
      </c>
      <c r="BC19" s="135">
        <f>SUBTOTAL(9,BC9:BC18)</f>
        <v>2091</v>
      </c>
      <c r="BD19" s="212">
        <f>IF(ISNUMBER(BA19/AZ19),BA19/AZ19," - ")</f>
        <v>1.2020748100526009</v>
      </c>
      <c r="BE19" s="209">
        <f>IF(ISNUMBER(BB19/BA19),BB19/BA19, " - ")</f>
        <v>1.3205299623191928</v>
      </c>
      <c r="BF19" s="209">
        <f>IF(ISNUMBER(BC19/BA19),BC19/BA19, " - ")</f>
        <v>0.25416312142943964</v>
      </c>
      <c r="BG19" s="135">
        <f>IF(ISNUMBER((AY19+AZ19)/BA19),(AY19+AZ19)/BA19," - ")</f>
        <v>2.3054576394797617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1vnTgs7Uo75I7UHimmfcSvCc9HQpnpu/psmcIW314i5j0cmoYMrWVVHOMBK2szGZ9WCOYQ65EDeVLN0TrW3A==" saltValue="SBuq2k3gUxQuLIjjVpVX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dB4conFCz2l4qVNnTEL/z44NAgfRRwQMqaPqeeP1zW85XHgmbNgGytDuo/21udevfpIPk8I33XQhOO14pWGHQ==" saltValue="ppAPEjfr/e0ae6CwN9wD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151</v>
      </c>
      <c r="O9" s="333"/>
      <c r="P9" s="333"/>
      <c r="Q9" s="225">
        <f>IF(ISNUMBER(Datos!P9),Datos!P9,0)</f>
        <v>850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207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134</v>
      </c>
      <c r="AI9" s="333" t="str">
        <f>IF(ISNUMBER(Datos!CD9),Datos!CD9,"-")</f>
        <v>-</v>
      </c>
      <c r="AJ9" s="333" t="str">
        <f>IF(ISNUMBER(Datos!EN9),Datos!EN9," - ")</f>
        <v xml:space="preserve"> - </v>
      </c>
      <c r="AK9" s="333"/>
      <c r="AL9" s="478"/>
      <c r="AM9" s="334">
        <f>IF(ISNUMBER(Datos!R9),Datos!R9," - ")</f>
        <v>13933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1531</v>
      </c>
      <c r="BD9" s="228">
        <f>IF(ISNUMBER(Datos!N9),Datos!N9," - ")</f>
        <v>999</v>
      </c>
      <c r="BE9" s="228" t="str">
        <f>IF(ISNUMBER(Datos!BW9),Datos!BW9," - ")</f>
        <v xml:space="preserve"> - </v>
      </c>
      <c r="BF9" s="227" t="str">
        <f>IF(ISNUMBER(Datos!BX9),Datos!BX9," - ")</f>
        <v xml:space="preserve"> - </v>
      </c>
      <c r="BG9" s="242">
        <f>IF(ISNUMBER(IF(J_V="SI",Datos!K9/Datos!J9,(Datos!K9+Datos!AA9)/(Datos!J9+Datos!Z9))),IF(J_V="SI",Datos!K9/Datos!J9,(Datos!K9+Datos!AA9)/(Datos!J9+Datos!Z9))," - ")</f>
        <v>1.1816745655608214</v>
      </c>
      <c r="BH9" s="259">
        <f>IF(ISNUMBER(((IF(J_V="SI",Datos!L9/Datos!K9,(Datos!L9+Datos!AB9)/(Datos!K9+Datos!AA9)))*11)/factor_trimestre),((IF(J_V="SI",Datos!L9/Datos!K9,(Datos!L9+Datos!AB9)/(Datos!K9+Datos!AA9)))*11)/factor_trimestre," - ")</f>
        <v>8.6179812834224592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4.8382242287434159E-2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49</v>
      </c>
      <c r="O11" s="333"/>
      <c r="P11" s="333"/>
      <c r="Q11" s="225">
        <f>IF(ISNUMBER(Datos!P11),Datos!P11,0)</f>
        <v>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v>
      </c>
      <c r="AD11" s="333"/>
      <c r="AE11" s="483"/>
      <c r="AF11" s="331" t="str">
        <f>IF(ISNUMBER(IF(J_V="SI",Datos!L11,Datos!L11+Datos!AB11)-IF(Monitorios="SI",Datos!CD11,0)),
                          IF(J_V="SI",Datos!L11,Datos!L11+Datos!AB11)-IF(Monitorios="SI",Datos!CD11,0),
                          " - ")</f>
        <v xml:space="preserve"> - </v>
      </c>
      <c r="AG11" s="333"/>
      <c r="AH11" s="333">
        <f>IF(ISNUMBER(Datos!AB11),Datos!AB11,"-")</f>
        <v>84</v>
      </c>
      <c r="AI11" s="333"/>
      <c r="AJ11" s="333"/>
      <c r="AK11" s="333"/>
      <c r="AL11" s="478"/>
      <c r="AM11" s="334">
        <f>IF(ISNUMBER(Datos!R11),Datos!R11," - ")</f>
        <v>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117</v>
      </c>
      <c r="BD11" s="228">
        <f>IF(ISNUMBER(Datos!N11),Datos!N11," - ")</f>
        <v>38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0.63716814159292035</v>
      </c>
      <c r="BH11" s="259">
        <f>IF(ISNUMBER(((IF(J_V="SI",Datos!L11/Datos!K11,(Datos!L11+Datos!AB11)/(Datos!K11+Datos!AA11)))*11)/factor_trimestre),((IF(J_V="SI",Datos!L11/Datos!K11,(Datos!L11+Datos!AB11)/(Datos!K11+Datos!AA11)))*11)/factor_trimestre," - ")</f>
        <v>8.4166666666666661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0.2857142857142857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200</v>
      </c>
      <c r="O13" s="899">
        <f t="shared" si="0"/>
        <v>0</v>
      </c>
      <c r="P13" s="899">
        <f t="shared" si="0"/>
        <v>0</v>
      </c>
      <c r="Q13" s="898">
        <f t="shared" si="0"/>
        <v>853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208</v>
      </c>
      <c r="AD13" s="898">
        <f t="shared" si="1"/>
        <v>0</v>
      </c>
      <c r="AE13" s="898">
        <f t="shared" si="1"/>
        <v>0</v>
      </c>
      <c r="AF13" s="898">
        <f t="shared" si="1"/>
        <v>2</v>
      </c>
      <c r="AG13" s="898">
        <f t="shared" si="1"/>
        <v>0</v>
      </c>
      <c r="AH13" s="898">
        <f t="shared" si="1"/>
        <v>218</v>
      </c>
      <c r="AI13" s="898">
        <f t="shared" si="1"/>
        <v>0</v>
      </c>
      <c r="AJ13" s="898">
        <f t="shared" si="1"/>
        <v>0</v>
      </c>
      <c r="AK13" s="898">
        <f t="shared" si="1"/>
        <v>0</v>
      </c>
      <c r="AL13" s="898">
        <f t="shared" si="1"/>
        <v>0</v>
      </c>
      <c r="AM13" s="898">
        <f t="shared" si="1"/>
        <v>14008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1648</v>
      </c>
      <c r="BD13" s="898">
        <f t="shared" si="1"/>
        <v>1037</v>
      </c>
      <c r="BE13" s="898">
        <f t="shared" si="1"/>
        <v>0</v>
      </c>
      <c r="BF13" s="898">
        <f t="shared" si="1"/>
        <v>0</v>
      </c>
      <c r="BG13" s="898">
        <f>IF(ISNUMBER(Datos!K13/Datos!J13),Datos!K13/Datos!J13," - ")</f>
        <v>1.1448895544739799</v>
      </c>
      <c r="BH13" s="902">
        <f>IF(ISNUMBER(((Datos!L13/Datos!K13)*11)/factor_trimestre),((Datos!L13/Datos!K13)*11)/factor_trimestre," - ")</f>
        <v>8.8145846958796614</v>
      </c>
      <c r="BI13" s="898">
        <f>IF(ISNUMBER('Resol  Asuntos'!D13/NºAsuntos!G13),'Resol  Asuntos'!D13/NºAsuntos!G13," - ")</f>
        <v>0.513715710723192</v>
      </c>
      <c r="BJ13" s="898" t="str">
        <f>IF(ISNUMBER(Datos!CI13/Datos!CJ13),Datos!CI13/Datos!CJ13," - ")</f>
        <v xml:space="preserve"> - </v>
      </c>
      <c r="BK13" s="898">
        <f>SUBTOTAL(9,BK8:BK12)</f>
        <v>0</v>
      </c>
      <c r="BL13" s="898">
        <f>IF(ISNUMBER((I13-AB13+L13)/(F13)),(I13-AB13+L13)/(F13)," - ")</f>
        <v>0</v>
      </c>
      <c r="BM13" s="903">
        <f>SUBTOTAL(9,BM9:BM12)</f>
        <v>0.33409652800171985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2177</v>
      </c>
      <c r="G15" s="597">
        <f>IF(ISNUMBER(IF(D_I="SI",Datos!I15,Datos!I15+Datos!AC15)),IF(D_I="SI",Datos!I15,Datos!I15+Datos!AC15)," - ")</f>
        <v>2118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3423</v>
      </c>
      <c r="AC15" s="225">
        <f>IF(ISNUMBER(Datos!Q15),Datos!Q15," - ")</f>
        <v>33</v>
      </c>
      <c r="AD15" s="333"/>
      <c r="AE15" s="483"/>
      <c r="AF15" s="595">
        <f>IF(ISNUMBER(IF(D_I="SI",Datos!L15,Datos!L15+Datos!AF15)),IF(D_I="SI",Datos!L15,Datos!L15+Datos!AF15)," - ")</f>
        <v>2105</v>
      </c>
      <c r="AG15" s="333"/>
      <c r="AH15" s="333"/>
      <c r="AI15" s="333"/>
      <c r="AJ15" s="333"/>
      <c r="AK15" s="333"/>
      <c r="AL15" s="478"/>
      <c r="AM15" s="334">
        <f>IF(ISNUMBER(Datos!R15),Datos!R15," - ")</f>
        <v>482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463</v>
      </c>
      <c r="BD15" s="228">
        <f>IF(ISNUMBER(Datos!N15),Datos!N15," - ")</f>
        <v>2154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1.0214861235452104</v>
      </c>
      <c r="BH15" s="259">
        <f>IF(ISNUMBER(((IF(D_I="SI",Datos!L15/Datos!K15,(Datos!L15+Datos!AF15)/(Datos!K15+Datos!AE15)))*11)/factor_trimestre),((IF(D_I="SI",Datos!L15/Datos!K15,(Datos!L15+Datos!AF15)/(Datos!K15+Datos!AE15)))*11)/factor_trimestre," - ")</f>
        <v>1.8448729184925503</v>
      </c>
      <c r="BI15" s="242">
        <f>IF(ISNUMBER('Resol  Asuntos'!D15/NºAsuntos!G15),'Resol  Asuntos'!D15/NºAsuntos!G15," - ")</f>
        <v>0.13526146654981011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9</v>
      </c>
      <c r="G16" s="597">
        <f>IF(ISNUMBER(IF(D_I="SI",Datos!I16,Datos!I16+Datos!AC16)),IF(D_I="SI",Datos!I16,Datos!I16+Datos!AC16)," - ")</f>
        <v>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9</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2186</v>
      </c>
      <c r="G18" s="897">
        <f>SUBTOTAL(9,G15:G17)</f>
        <v>2130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3425</v>
      </c>
      <c r="AC18" s="898">
        <f t="shared" si="4"/>
        <v>33</v>
      </c>
      <c r="AD18" s="898">
        <f t="shared" si="4"/>
        <v>0</v>
      </c>
      <c r="AE18" s="898">
        <f t="shared" si="4"/>
        <v>0</v>
      </c>
      <c r="AF18" s="898">
        <f t="shared" si="4"/>
        <v>2115</v>
      </c>
      <c r="AG18" s="898">
        <f t="shared" si="4"/>
        <v>0</v>
      </c>
      <c r="AH18" s="898">
        <f t="shared" si="4"/>
        <v>0</v>
      </c>
      <c r="AI18" s="898">
        <f t="shared" si="4"/>
        <v>0</v>
      </c>
      <c r="AJ18" s="898">
        <f t="shared" si="4"/>
        <v>0</v>
      </c>
      <c r="AK18" s="898">
        <f t="shared" si="4"/>
        <v>0</v>
      </c>
      <c r="AL18" s="898">
        <f t="shared" si="4"/>
        <v>0</v>
      </c>
      <c r="AM18" s="898">
        <f t="shared" si="4"/>
        <v>482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463</v>
      </c>
      <c r="BD18" s="898">
        <f t="shared" si="4"/>
        <v>2154</v>
      </c>
      <c r="BE18" s="898">
        <f t="shared" si="4"/>
        <v>0</v>
      </c>
      <c r="BF18" s="898">
        <f t="shared" si="4"/>
        <v>0</v>
      </c>
      <c r="BG18" s="898">
        <f>IF(ISNUMBER(Datos!K18/Datos!J18),Datos!K18/Datos!J18," - ")</f>
        <v>1.0220829603103552</v>
      </c>
      <c r="BH18" s="902">
        <f>IF(ISNUMBER(((Datos!L18/Datos!K18)*11)/factor_trimestre),((Datos!L18/Datos!K18)*11)/factor_trimestre," - ")</f>
        <v>1.8525547445255477</v>
      </c>
      <c r="BI18" s="898">
        <f>SUBTOTAL(9,BI15:BI17)</f>
        <v>0.13526146654981011</v>
      </c>
      <c r="BJ18" s="898">
        <f>SUBTOTAL(9,BJ15:BJ17)</f>
        <v>0</v>
      </c>
      <c r="BK18" s="898">
        <f>SUBTOTAL(9,BK15:BK17)</f>
        <v>0</v>
      </c>
      <c r="BL18" s="898">
        <f>IF(ISNUMBER((I18-AB18+L18)/(F18)),(I18-AB18+L18)/(F18)," - ")</f>
        <v>-1.5667886550777677</v>
      </c>
      <c r="BM18" s="904">
        <f>IF(ISNUMBER((Datos!P18-Datos!Q18)/(Datos!R18-Datos!P18+Datos!Q18)),(Datos!P18-Datos!Q18)/(Datos!R18-Datos!P18+Datos!Q18)," - ")</f>
        <v>6.2630480167014616E-3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2188</v>
      </c>
      <c r="G19" s="819">
        <f t="shared" si="6"/>
        <v>2132</v>
      </c>
      <c r="H19" s="821">
        <f t="shared" si="6"/>
        <v>0</v>
      </c>
      <c r="I19" s="819">
        <f t="shared" si="6"/>
        <v>0</v>
      </c>
      <c r="J19" s="821">
        <f t="shared" si="6"/>
        <v>0</v>
      </c>
      <c r="K19" s="821">
        <f t="shared" si="6"/>
        <v>0</v>
      </c>
      <c r="L19" s="880">
        <f t="shared" si="6"/>
        <v>0</v>
      </c>
      <c r="M19" s="880">
        <f t="shared" si="6"/>
        <v>0</v>
      </c>
      <c r="N19" s="880">
        <f t="shared" si="6"/>
        <v>200</v>
      </c>
      <c r="O19" s="880">
        <f t="shared" si="6"/>
        <v>0</v>
      </c>
      <c r="P19" s="880">
        <f t="shared" si="6"/>
        <v>0</v>
      </c>
      <c r="Q19" s="821">
        <f t="shared" si="6"/>
        <v>889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3425</v>
      </c>
      <c r="AC19" s="820">
        <f t="shared" si="7"/>
        <v>241</v>
      </c>
      <c r="AD19" s="820">
        <f t="shared" si="7"/>
        <v>0</v>
      </c>
      <c r="AE19" s="820">
        <f t="shared" si="7"/>
        <v>0</v>
      </c>
      <c r="AF19" s="827">
        <f t="shared" si="7"/>
        <v>2117</v>
      </c>
      <c r="AG19" s="827">
        <f t="shared" si="7"/>
        <v>0</v>
      </c>
      <c r="AH19" s="827">
        <f t="shared" si="7"/>
        <v>218</v>
      </c>
      <c r="AI19" s="827">
        <f t="shared" si="7"/>
        <v>0</v>
      </c>
      <c r="AJ19" s="820">
        <f t="shared" si="7"/>
        <v>0</v>
      </c>
      <c r="AK19" s="827">
        <f t="shared" si="7"/>
        <v>0</v>
      </c>
      <c r="AL19" s="827">
        <f t="shared" si="7"/>
        <v>0</v>
      </c>
      <c r="AM19" s="827">
        <f t="shared" si="7"/>
        <v>14490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2111</v>
      </c>
      <c r="BD19" s="819">
        <f t="shared" si="7"/>
        <v>3191</v>
      </c>
      <c r="BE19" s="819">
        <f t="shared" si="7"/>
        <v>0</v>
      </c>
      <c r="BF19" s="829">
        <f t="shared" si="7"/>
        <v>0</v>
      </c>
      <c r="BG19" s="914">
        <f>IF(ISNUMBER(Datos!K19/Datos!J19),Datos!K19/Datos!J19," - ")</f>
        <v>1.076552640318831</v>
      </c>
      <c r="BH19" s="914">
        <f>IF(ISNUMBER(((Datos!L19/Datos!K19)*11)/factor_trimestre),((Datos!L19/Datos!K19)*11)/factor_trimestre," - ")</f>
        <v>5.1365108745950954</v>
      </c>
      <c r="BI19" s="812">
        <f>IF(ISNUMBER(Datos!J19/Datos!I19),Datos!J19/Datos!I19," - ")</f>
        <v>0.52356111980525122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-1.5653564899451553</v>
      </c>
      <c r="BM19" s="888">
        <f>IF(ISNUMBER((Datos!P19-Datos!Q19+R19)/(Datos!R19-Datos!P19+Datos!Q19-R19)),(Datos!P19-Datos!Q19+R19)/(Datos!R19-Datos!P19+Datos!Q19-R19)," - ")</f>
        <v>4.6814044213263982E-2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710.66666666666663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3.2015621187164243</v>
      </c>
      <c r="F21" s="550">
        <f>IF(ISNUMBER(STDEV(F8:F18)),STDEV(F8:F18),"-")</f>
        <v>1192.490964326355</v>
      </c>
      <c r="G21" s="551">
        <f>IF(ISNUMBER(STDEV(G8:G18)),STDEV(G8:G18),"-")</f>
        <v>1094.7729749435116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1767.8880809221682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683.91013402973601</v>
      </c>
      <c r="BD21" s="550"/>
      <c r="BE21" s="550">
        <f>IF(ISNUMBER(STDEV(BE8:BE18)),STDEV(BE8:BE18),"-")</f>
        <v>0</v>
      </c>
      <c r="BF21" s="555">
        <f>IF(ISNUMBER(STDEV(BF8:BF18)),STDEV(BF8:BF18),"-")</f>
        <v>0</v>
      </c>
      <c r="BG21" s="774">
        <f>IF(ISNUMBER(STDEV(BG8:BG18)),STDEV(BG8:BG18),"-")</f>
        <v>0.2159769877524064</v>
      </c>
      <c r="BH21" s="775">
        <f>IF(ISNUMBER(STDEV(BH8:BH18)),STDEV(BH8:BH18),"-")</f>
        <v>3.7747347363741466</v>
      </c>
      <c r="BI21" s="248">
        <f>IF(ISNUMBER(STDEV(BI8:BI18)),STDEV(BI8:BI18),"-")</f>
        <v>0.22116177901706868</v>
      </c>
      <c r="BJ21" s="229" t="str">
        <f>IF(ISNUMBER(BL21/BM21),BL21/BM21," - ")</f>
        <v xml:space="preserve"> - </v>
      </c>
      <c r="BK21" s="574"/>
      <c r="BL21" s="558">
        <f>IF(ISNUMBER(STDEV(BL8:BL18)),STDEV(BL8:BL18),"-")</f>
        <v>1.1078868826916402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6+HnBZh7U486n0XsX4TanabW/f1Gxw3nqEDAX+2t3VGOFxEDd+/nQ0OAotakfpyk9xqDkxttw7am2nl8ec5wXQ==" saltValue="jRlgPS41470xzwtVNWT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CRISTOBAL DE LA LAGUNA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850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207</v>
      </c>
      <c r="AA9" s="331" t="str">
        <f>IF(ISNUMBER(IF(J_V="SI",Datos!L9,Datos!L9+Datos!AB9)-IF(Monitorios="SI",Datos!CD9,0)),
                          IF(J_V="SI",Datos!L9,Datos!L9+Datos!AB9)-IF(Monitorios="SI",Datos!CD9,0),
                          " - ")</f>
        <v xml:space="preserve"> - </v>
      </c>
      <c r="AB9" s="333"/>
      <c r="AC9" s="333"/>
      <c r="AD9" s="483"/>
      <c r="AE9" s="483">
        <f>IF(ISNUMBER(Datos!R9),Datos!R9," - ")</f>
        <v>13933</v>
      </c>
      <c r="AF9" s="228" t="str">
        <f>IF(ISNUMBER(Datos!BV9),Datos!BV9," - ")</f>
        <v xml:space="preserve"> - </v>
      </c>
      <c r="AG9" s="224" t="str">
        <f>IF(ISNUMBER(Datos!DV9),Datos!DV9," - ")</f>
        <v xml:space="preserve"> - </v>
      </c>
      <c r="AH9" s="297"/>
      <c r="AI9" s="226"/>
      <c r="AJ9" s="224">
        <f>IF(ISNUMBER(Datos!M9),Datos!M9," - ")</f>
        <v>1531</v>
      </c>
      <c r="AK9" s="228">
        <f>IF(ISNUMBER(Datos!N9),Datos!N9," - ")</f>
        <v>999</v>
      </c>
      <c r="AL9" s="228" t="str">
        <f>IF(ISNUMBER(Datos!BW9),Datos!BW9," - ")</f>
        <v xml:space="preserve"> - </v>
      </c>
      <c r="AM9" s="227" t="str">
        <f>IF(ISNUMBER(Datos!BX9),Datos!BX9," - ")</f>
        <v xml:space="preserve"> - </v>
      </c>
      <c r="AN9" s="242"/>
      <c r="AO9" s="259">
        <f>IF(ISNUMBER(((NºAsuntos!I9/NºAsuntos!G9)*11)/factor_trimestre),((NºAsuntos!I9/NºAsuntos!G9)*11)/factor_trimestre," - ")</f>
        <v>8.6179812834224592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4.8382242287434159E-2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v>
      </c>
      <c r="AA11" s="331" t="str">
        <f>IF(ISNUMBER(IF(J_V="SI",Datos!L11,Datos!L11+Datos!AB11)-IF(Monitorios="SI",Datos!CD11,0)),
                          IF(J_V="SI",Datos!L11,Datos!L11+Datos!AB11)-IF(Monitorios="SI",Datos!CD11,0),
                          " - ")</f>
        <v xml:space="preserve"> - </v>
      </c>
      <c r="AB11" s="333"/>
      <c r="AC11" s="333"/>
      <c r="AD11" s="483"/>
      <c r="AE11" s="483">
        <f>IF(ISNUMBER(Datos!R11),Datos!R11," - ")</f>
        <v>9</v>
      </c>
      <c r="AF11" s="228" t="str">
        <f>IF(ISNUMBER(Datos!BV11),Datos!BV11," - ")</f>
        <v xml:space="preserve"> - </v>
      </c>
      <c r="AG11" s="224" t="str">
        <f>IF(ISNUMBER(Datos!DV11),Datos!DV11," - ")</f>
        <v xml:space="preserve"> - </v>
      </c>
      <c r="AH11" s="297"/>
      <c r="AI11" s="226"/>
      <c r="AJ11" s="224">
        <f>IF(ISNUMBER(Datos!M11),Datos!M11," - ")</f>
        <v>117</v>
      </c>
      <c r="AK11" s="228">
        <f>IF(ISNUMBER(Datos!N11),Datos!N11," - ")</f>
        <v>38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8.4166666666666661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0.2857142857142857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853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208</v>
      </c>
      <c r="AA13" s="899">
        <f t="shared" si="2"/>
        <v>2</v>
      </c>
      <c r="AB13" s="899">
        <f t="shared" si="2"/>
        <v>0</v>
      </c>
      <c r="AC13" s="899">
        <f t="shared" si="2"/>
        <v>0</v>
      </c>
      <c r="AD13" s="899">
        <f t="shared" si="2"/>
        <v>0</v>
      </c>
      <c r="AE13" s="899">
        <f t="shared" si="2"/>
        <v>14008</v>
      </c>
      <c r="AF13" s="907">
        <f t="shared" si="2"/>
        <v>0</v>
      </c>
      <c r="AG13" s="907">
        <f t="shared" si="2"/>
        <v>0</v>
      </c>
      <c r="AH13" s="907">
        <f t="shared" si="2"/>
        <v>0</v>
      </c>
      <c r="AI13" s="907">
        <f t="shared" si="2"/>
        <v>0</v>
      </c>
      <c r="AJ13" s="907">
        <f t="shared" si="2"/>
        <v>1648</v>
      </c>
      <c r="AK13" s="907">
        <f t="shared" si="2"/>
        <v>1037</v>
      </c>
      <c r="AL13" s="907">
        <f t="shared" si="2"/>
        <v>0</v>
      </c>
      <c r="AM13" s="907">
        <f t="shared" si="2"/>
        <v>0</v>
      </c>
      <c r="AN13" s="907">
        <f t="shared" si="2"/>
        <v>0</v>
      </c>
      <c r="AO13" s="903">
        <f>IF(ISNUMBER(((NºAsuntos!I13/NºAsuntos!G13)*11)/factor_trimestre),((NºAsuntos!I13/NºAsuntos!G13)*11)/factor_trimestre," - ")</f>
        <v>8.6062967581047385</v>
      </c>
      <c r="AP13" s="909" t="str">
        <f>IF(ISNUMBER(Datos!CI13/Datos!CJ13),Datos!CI13/Datos!CJ13," - ")</f>
        <v xml:space="preserve"> - </v>
      </c>
      <c r="AQ13" s="927">
        <f t="shared" ref="AQ13:AV13" si="3">SUBTOTAL(9,AQ9:AQ12)</f>
        <v>0</v>
      </c>
      <c r="AR13" s="927">
        <f t="shared" si="3"/>
        <v>0.33409652800171985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2177</v>
      </c>
      <c r="G15" s="224">
        <f>IF(ISNUMBER(IF(D_I="SI",Datos!I15,Datos!I15+Datos!AC15)),IF(D_I="SI",Datos!I15,Datos!I15+Datos!AC15)," - ")</f>
        <v>2118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3423</v>
      </c>
      <c r="Z15" s="618">
        <f>IF(ISNUMBER(Datos!Q15),Datos!Q15," - ")</f>
        <v>33</v>
      </c>
      <c r="AA15" s="331">
        <f>IF(ISNUMBER(IF(D_I="SI",Datos!L15,Datos!L15+Datos!AF15)),IF(D_I="SI",Datos!L15,Datos!L15+Datos!AF15)," - ")</f>
        <v>2105</v>
      </c>
      <c r="AB15" s="333"/>
      <c r="AC15" s="333"/>
      <c r="AD15" s="483"/>
      <c r="AE15" s="483">
        <f>IF(ISNUMBER(Datos!R15),Datos!R15," - ")</f>
        <v>482</v>
      </c>
      <c r="AF15" s="228" t="str">
        <f>IF(ISNUMBER(Datos!BV15),Datos!BV15," - ")</f>
        <v xml:space="preserve"> - </v>
      </c>
      <c r="AG15" s="224"/>
      <c r="AH15" s="297"/>
      <c r="AI15" s="226"/>
      <c r="AJ15" s="224">
        <f>IF(ISNUMBER(Datos!M15),Datos!M15," - ")</f>
        <v>463</v>
      </c>
      <c r="AK15" s="228">
        <f>IF(ISNUMBER(Datos!N15),Datos!N15," - ")</f>
        <v>2154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1.8448729184925503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9</v>
      </c>
      <c r="G16" s="224">
        <f>IF(ISNUMBER(IF(D_I="SI",Datos!I16,Datos!I16+Datos!AC16)),IF(D_I="SI",Datos!I16,Datos!I16+Datos!AC16)," - ")</f>
        <v>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9</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2186</v>
      </c>
      <c r="G18" s="897">
        <f>SUBTOTAL(9,G15:G17)</f>
        <v>2130</v>
      </c>
      <c r="H18" s="931">
        <f>SUBTOTAL(9,H15:H17)</f>
        <v>0</v>
      </c>
      <c r="I18" s="910">
        <f>SUBTOTAL(9,I15:I17)</f>
        <v>0</v>
      </c>
      <c r="J18" s="866">
        <f>SUBTOTAL(9,J14:J17)</f>
        <v>0</v>
      </c>
      <c r="K18" s="931">
        <f t="shared" ref="K18:S18" si="4">SUBTOTAL(9,K15:K17)</f>
        <v>0</v>
      </c>
      <c r="L18" s="931">
        <f t="shared" si="4"/>
        <v>0</v>
      </c>
      <c r="M18" s="931">
        <f t="shared" si="4"/>
        <v>0</v>
      </c>
      <c r="N18" s="931">
        <f t="shared" si="4"/>
        <v>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3425</v>
      </c>
      <c r="Z18" s="931">
        <f t="shared" si="5"/>
        <v>33</v>
      </c>
      <c r="AA18" s="931">
        <f t="shared" si="5"/>
        <v>2115</v>
      </c>
      <c r="AB18" s="931">
        <f t="shared" si="5"/>
        <v>0</v>
      </c>
      <c r="AC18" s="931">
        <f t="shared" si="5"/>
        <v>0</v>
      </c>
      <c r="AD18" s="931">
        <f t="shared" si="5"/>
        <v>0</v>
      </c>
      <c r="AE18" s="931">
        <f t="shared" si="5"/>
        <v>482</v>
      </c>
      <c r="AF18" s="931">
        <f t="shared" si="5"/>
        <v>0</v>
      </c>
      <c r="AG18" s="931">
        <f t="shared" si="5"/>
        <v>0</v>
      </c>
      <c r="AH18" s="931">
        <f t="shared" si="5"/>
        <v>0</v>
      </c>
      <c r="AI18" s="931">
        <f t="shared" si="5"/>
        <v>0</v>
      </c>
      <c r="AJ18" s="931">
        <f t="shared" si="5"/>
        <v>463</v>
      </c>
      <c r="AK18" s="931">
        <f t="shared" si="5"/>
        <v>2154</v>
      </c>
      <c r="AL18" s="931">
        <f t="shared" si="5"/>
        <v>0</v>
      </c>
      <c r="AM18" s="931">
        <f t="shared" si="5"/>
        <v>0</v>
      </c>
      <c r="AN18" s="931">
        <f t="shared" si="5"/>
        <v>0</v>
      </c>
      <c r="AO18" s="933">
        <f>IF(ISNUMBER(((NºAsuntos!I18/NºAsuntos!G18)*11)/factor_trimestre),((NºAsuntos!I18/NºAsuntos!G18)*11)/factor_trimestre," - ")</f>
        <v>1.8525547445255477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2188</v>
      </c>
      <c r="G19" s="819">
        <f t="shared" si="7"/>
        <v>2132</v>
      </c>
      <c r="H19" s="820">
        <f t="shared" si="7"/>
        <v>0</v>
      </c>
      <c r="I19" s="819">
        <f t="shared" si="7"/>
        <v>0</v>
      </c>
      <c r="J19" s="821">
        <f t="shared" si="7"/>
        <v>0</v>
      </c>
      <c r="K19" s="819">
        <f t="shared" si="7"/>
        <v>0</v>
      </c>
      <c r="L19" s="822">
        <f t="shared" si="7"/>
        <v>0</v>
      </c>
      <c r="M19" s="819">
        <f t="shared" si="7"/>
        <v>0</v>
      </c>
      <c r="N19" s="820">
        <f t="shared" si="7"/>
        <v>889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3425</v>
      </c>
      <c r="Z19" s="826">
        <f t="shared" si="8"/>
        <v>241</v>
      </c>
      <c r="AA19" s="827">
        <f t="shared" si="8"/>
        <v>2117</v>
      </c>
      <c r="AB19" s="827">
        <f t="shared" si="8"/>
        <v>0</v>
      </c>
      <c r="AC19" s="827">
        <f t="shared" si="8"/>
        <v>0</v>
      </c>
      <c r="AD19" s="828">
        <f t="shared" si="8"/>
        <v>0</v>
      </c>
      <c r="AE19" s="828">
        <f t="shared" si="8"/>
        <v>14490</v>
      </c>
      <c r="AF19" s="829">
        <f t="shared" si="8"/>
        <v>0</v>
      </c>
      <c r="AG19" s="830">
        <f t="shared" si="8"/>
        <v>0</v>
      </c>
      <c r="AH19" s="831">
        <f t="shared" si="8"/>
        <v>0</v>
      </c>
      <c r="AI19" s="829">
        <f t="shared" si="8"/>
        <v>0</v>
      </c>
      <c r="AJ19" s="819">
        <f t="shared" si="8"/>
        <v>2111</v>
      </c>
      <c r="AK19" s="819">
        <f t="shared" si="8"/>
        <v>3191</v>
      </c>
      <c r="AL19" s="819">
        <f t="shared" si="8"/>
        <v>0</v>
      </c>
      <c r="AM19" s="832">
        <f t="shared" si="8"/>
        <v>0</v>
      </c>
      <c r="AN19" s="822">
        <f>IF(ISNUMBER(Datos!K19/Datos!J19),Datos!K19/Datos!J19," - ")</f>
        <v>1.076552640318831</v>
      </c>
      <c r="AO19" s="822">
        <f>IF(ISNUMBER(FIND("06",Criterios!A8,1)),(IF(ISNUMBER(((Datos!R19/Datos!Q19)*11)/factor_trimestre),((Datos!R19/Datos!Q19)*11)/factor_trimestre," - ")),(IF(ISNUMBER(((Datos!L19/Datos!K19)*11)/factor_trimestre),((Datos!L19/Datos!K19)*11)/factor_trimestre," - ")))</f>
        <v>5.1365108745950954</v>
      </c>
      <c r="AP19" s="833" t="str">
        <f>IF(ISNUMBER(Datos!CI19/Datos!CJ19),Datos!CI19/Datos!CJ19," - ")</f>
        <v xml:space="preserve"> - </v>
      </c>
      <c r="AQ19" s="833">
        <f>IF(OR(ISNUMBER(FIND("01",Criterios!A8,1)),ISNUMBER(FIND("02",Criterios!A8,1)),ISNUMBER(FIND("03",Criterios!A8,1)),ISNUMBER(FIND("04",Criterios!A8,1))),(J19-Y19+K19)/(F19-K19),(I19-Y19+K19)/(F19-K19))</f>
        <v>-1.5653564899451553</v>
      </c>
      <c r="AR19" s="833">
        <f>IF(ISNUMBER((Datos!P19-Datos!Q19+O19)/(Datos!R19-Datos!P19+Datos!Q19-O19)),(Datos!P19-Datos!Q19+O19)/(Datos!R19-Datos!P19+Datos!Q19-O19)," - ")</f>
        <v>4.6814044213263982E-2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710.66666666666663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1192.490964326355</v>
      </c>
      <c r="G21" s="551">
        <f>IF(ISNUMBER(STDEV(G8:G18)),STDEV(G8:G18),"-")</f>
        <v>1094.7729749435116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683.91013402973601</v>
      </c>
      <c r="AK21" s="251"/>
      <c r="AL21" s="251">
        <f>IF(ISNUMBER(STDEV(AL8:AL18)),STDEV(AL8:AL18),"-")</f>
        <v>0</v>
      </c>
      <c r="AM21" s="253">
        <f>IF(ISNUMBER(STDEV(AM8:AM18)),STDEV(AM8:AM18),"-")</f>
        <v>0</v>
      </c>
      <c r="AN21" s="538">
        <f>IF(ISNUMBER(STDEV(AN8:AN18)),STDEV(AN8:AN18),"-")</f>
        <v>0</v>
      </c>
      <c r="AO21" s="539">
        <f>IF(ISNUMBER(STDEV(AO8:AO18)),STDEV(AO8:AO18),"-")</f>
        <v>3.7353144396964719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O8SLjVfHE+kJHmy79befSyEE1dytwnuwBUeBhRlr434AqfC/d+MoODr0N5AIoChQ79f9hx7Y3jYNLtUO/sYOQ==" saltValue="qgmEPuDO6r6/E9U46rSu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d9yHSnVmmX+1BsfVBdC9FsiNUytFeLuFjymrW+1FY/jPuayTCfkVi1dTegKc6JhMLi920s0ytwHxZQdmR8sWQ==" saltValue="+R9u+elQV/YRCZXMyJVH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4KbiD1a5eBBI/56Ci8vmrLrjBO2dakHxzjixp4aoTEpsATIVCfMQdwhLh2mnQ6j0gQ3c0PqVgcMxcQLOLxLLQ==" saltValue="VpoHYd+5AAcU/0mwBIre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0.513715710723192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0.36325186265443588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U6B/XX9c+gKDmSfEKHX8u+jhkOk1Un+dfmzt0zjhr9b9HJfMqF60ce2PzyqYelBcl1wXel/XXRhJIwf4cr7RQ==" saltValue="MYrshTmerlYa7paLwNI+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sJohB++ns1EL3Ga8MfwHytQm50NyQBlVdbTmqNjRnSUwXGZ/Cbi9vTJ1OUG3lBf+1Qb3Tla5wDDzpJcNqrfFMg==" saltValue="qRHTKSyP94g3b6l/9ryf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CRISTOBAL DE LA LAGUNA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9055</v>
      </c>
      <c r="D9" s="403">
        <f>IF(ISNUMBER(C9/Datos!BH9),C9/Datos!BH9," - ")</f>
        <v>1293.5714285714287</v>
      </c>
      <c r="E9" s="402">
        <f>IF(ISNUMBER(IF(J_V="SI",Datos!J9,Datos!J9+Datos!Z9)),IF(J_V="SI",Datos!J9,Datos!J9+Datos!Z9)," - ")</f>
        <v>2532</v>
      </c>
      <c r="F9" s="403">
        <f>IF(ISNUMBER(E9/B9),E9/B9," - ")</f>
        <v>361.71428571428572</v>
      </c>
      <c r="G9" s="402">
        <f>IF(ISNUMBER(IF(J_V="SI",Datos!K9,Datos!K9+Datos!AA9)),IF(J_V="SI",Datos!K9,Datos!K9+Datos!AA9)," - ")</f>
        <v>2992</v>
      </c>
      <c r="H9" s="403">
        <f>IF(ISNUMBER(G9/B9),G9/B9," - ")</f>
        <v>427.42857142857144</v>
      </c>
      <c r="I9" s="402">
        <f>IF(ISNUMBER(IF(J_V="SI",Datos!L9,Datos!L9+Datos!AB9)),IF(J_V="SI",Datos!L9,Datos!L9+Datos!AB9)," - ")</f>
        <v>8595</v>
      </c>
      <c r="J9" s="403">
        <f>IF(ISNUMBER(I9/B9),I9/B9," - ")</f>
        <v>1227.8571428571429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483</v>
      </c>
      <c r="D11" s="403">
        <f>IF(ISNUMBER(C11/Datos!BH11),C11/Datos!BH11," - ")</f>
        <v>161</v>
      </c>
      <c r="E11" s="402">
        <f>IF(ISNUMBER(IF(J_V="SI",Datos!J11,Datos!J11+Datos!Z11)),IF(J_V="SI",Datos!J11,Datos!J11+Datos!Z11)," - ")</f>
        <v>339</v>
      </c>
      <c r="F11" s="403">
        <f>IF(ISNUMBER(E11/B11),E11/B11," - ")</f>
        <v>169.5</v>
      </c>
      <c r="G11" s="402">
        <f>IF(ISNUMBER(IF(J_V="SI",Datos!K11,Datos!K11+Datos!AA11)),IF(J_V="SI",Datos!K11,Datos!K11+Datos!AA11)," - ")</f>
        <v>216</v>
      </c>
      <c r="H11" s="403">
        <f>IF(ISNUMBER(G11/B11),G11/B11," - ")</f>
        <v>108</v>
      </c>
      <c r="I11" s="402">
        <f>IF(ISNUMBER(IF(J_V="SI",Datos!L11,Datos!L11+Datos!AB11)),IF(J_V="SI",Datos!L11,Datos!L11+Datos!AB11)," - ")</f>
        <v>606</v>
      </c>
      <c r="J11" s="403">
        <f>IF(ISNUMBER(I11/B11),I11/B11," - ")</f>
        <v>303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9540</v>
      </c>
      <c r="D13" s="849" t="str">
        <f>IF(ISNUMBER(C13/Datos!BI13),C13/Datos!BI13," - ")</f>
        <v xml:space="preserve"> - </v>
      </c>
      <c r="E13" s="848">
        <f>SUBTOTAL(9,E8:E12)</f>
        <v>2871</v>
      </c>
      <c r="F13" s="849">
        <f>IF(ISNUMBER(E13/B13),E13/B13," - ")</f>
        <v>319</v>
      </c>
      <c r="G13" s="848">
        <f>SUBTOTAL(9,G8:G12)</f>
        <v>3208</v>
      </c>
      <c r="H13" s="849">
        <f>IF(ISNUMBER(G13/B13),G13/B13," - ")</f>
        <v>356.44444444444446</v>
      </c>
      <c r="I13" s="848">
        <f>SUBTOTAL(9,I8:I12)</f>
        <v>9203</v>
      </c>
      <c r="J13" s="849">
        <f>IF(ISNUMBER(I13/B13),I13/B13," - ")</f>
        <v>1022.5555555555555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2118</v>
      </c>
      <c r="D15" s="403">
        <f>IF(ISNUMBER(C15/Datos!BH15),C15/Datos!BH15," - ")</f>
        <v>529.5</v>
      </c>
      <c r="E15" s="402">
        <f>IF(ISNUMBER(IF(D_I="SI",Datos!J15,Datos!J15+Datos!AD15)),IF(D_I="SI",Datos!J15,Datos!J15+Datos!AD15)," - ")</f>
        <v>3351</v>
      </c>
      <c r="F15" s="403">
        <f>IF(ISNUMBER(E15/B15),E15/B15," - ")</f>
        <v>837.75</v>
      </c>
      <c r="G15" s="402">
        <f>IF(ISNUMBER(IF(D_I="SI",Datos!K15,Datos!K15+Datos!AE15)),IF(D_I="SI",Datos!K15,Datos!K15+Datos!AE15)," - ")</f>
        <v>3423</v>
      </c>
      <c r="H15" s="403">
        <f>IF(ISNUMBER(G15/B15),G15/B15," - ")</f>
        <v>855.75</v>
      </c>
      <c r="I15" s="402">
        <f>IF(ISNUMBER(IF(D_I="SI",Datos!L15,Datos!L15+Datos!AF15)),IF(D_I="SI",Datos!L15,Datos!L15+Datos!AF15)," - ")</f>
        <v>2105</v>
      </c>
      <c r="J15" s="403">
        <f>IF(ISNUMBER(I15/B15),I15/B15," - ")</f>
        <v>526.25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9</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9</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2130</v>
      </c>
      <c r="D18" s="849" t="str">
        <f>IF(ISNUMBER(C18/Datos!BI18),C18/Datos!BI18," - ")</f>
        <v xml:space="preserve"> - </v>
      </c>
      <c r="E18" s="848">
        <f>SUBTOTAL(9,E14:E17)</f>
        <v>3351</v>
      </c>
      <c r="F18" s="849">
        <f>IF(ISNUMBER(E18/B18),E18/B18," - ")</f>
        <v>837.75</v>
      </c>
      <c r="G18" s="848">
        <f>SUBTOTAL(9,G14:G17)</f>
        <v>3425</v>
      </c>
      <c r="H18" s="849">
        <f>IF(ISNUMBER(G18/B18),G18/B18," - ")</f>
        <v>856.25</v>
      </c>
      <c r="I18" s="848">
        <f>SUBTOTAL(9,I14:I17)</f>
        <v>2115</v>
      </c>
      <c r="J18" s="849">
        <f>IF(ISNUMBER(I18/B18),I18/B18," - ")</f>
        <v>528.75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11670</v>
      </c>
      <c r="D19" s="794" t="str">
        <f>IF(ISNUMBER(C19/Datos!BI19),C19/Datos!BI19," - ")</f>
        <v xml:space="preserve"> - </v>
      </c>
      <c r="E19" s="793">
        <f>SUBTOTAL(9,E9:E18)</f>
        <v>6222</v>
      </c>
      <c r="F19" s="794">
        <f>IF(ISNUMBER(E19/B19),E19/B19," - ")</f>
        <v>478.61538461538464</v>
      </c>
      <c r="G19" s="793">
        <f>SUBTOTAL(9,G9:G18)</f>
        <v>6633</v>
      </c>
      <c r="H19" s="794">
        <f>IF(ISNUMBER(G19/B19),G19/B19," - ")</f>
        <v>510.23076923076923</v>
      </c>
      <c r="I19" s="793">
        <f>SUBTOTAL(9,I9:I18)</f>
        <v>11318</v>
      </c>
      <c r="J19" s="794">
        <f>IF(ISNUMBER(I19/B19),I19/B19," - ")</f>
        <v>870.61538461538464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VonCte8JTuyq8Ea0Dy7BxDMJe6biRjZQGxxYNJWQ8MmqpMbe0B7GNwDqhYJRrx0iIpIp+EHfkvJJVeSeB7z0w==" saltValue="xxpqFzBB8JswYDTJd42L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CRISTOBAL DE LA LAGUNA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0</v>
      </c>
      <c r="AE13" s="938">
        <f t="shared" si="1"/>
        <v>0</v>
      </c>
      <c r="AF13" s="938">
        <f t="shared" si="1"/>
        <v>2</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f t="shared" si="1"/>
        <v>0</v>
      </c>
      <c r="AP13" s="943">
        <f>IF(ISNUMBER(((Datos!L13/Datos!K13)*11)/factor_trimestre),((Datos!L13/Datos!K13)*11)/factor_trimestre," - ")</f>
        <v>8.8145846958796614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1.8525547445255477</v>
      </c>
      <c r="AQ18" s="943">
        <f>IF(ISNUMBER(((Datos!M18/Datos!L18)*11)/factor_trimestre),((Datos!M18/Datos!L18)*11)/factor_trimestre," - ")</f>
        <v>0.65673758865248233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6.2630480167014616E-3</v>
      </c>
      <c r="AW18" s="945">
        <f>IF(ISNUMBER((Datos!Q18-Datos!R18)/(Datos!S18-Datos!Q18+Datos!R18)),(Datos!Q18-Datos!R18)/(Datos!S18-Datos!Q18+Datos!R18)," - ")</f>
        <v>-0.18090249798549557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0</v>
      </c>
      <c r="AE19" s="956">
        <f t="shared" si="5"/>
        <v>0</v>
      </c>
      <c r="AF19" s="957">
        <f t="shared" si="5"/>
        <v>2</v>
      </c>
      <c r="AG19" s="957">
        <f t="shared" si="5"/>
        <v>0</v>
      </c>
      <c r="AH19" s="957">
        <f t="shared" si="5"/>
        <v>0</v>
      </c>
      <c r="AI19" s="957">
        <f t="shared" si="5"/>
        <v>0</v>
      </c>
      <c r="AJ19" s="958">
        <f t="shared" si="5"/>
        <v>0</v>
      </c>
      <c r="AK19" s="958">
        <f t="shared" si="5"/>
        <v>0</v>
      </c>
      <c r="AL19" s="950">
        <f t="shared" si="5"/>
        <v>0</v>
      </c>
      <c r="AM19" s="950">
        <f t="shared" si="5"/>
        <v>0</v>
      </c>
      <c r="AN19" s="950">
        <f t="shared" si="5"/>
        <v>0</v>
      </c>
      <c r="AO19" s="950">
        <f t="shared" si="5"/>
        <v>0</v>
      </c>
      <c r="AP19" s="950">
        <f>IF(ISNUMBER(((Datos!L19/Datos!K19)*11)/factor_trimestre),((Datos!L19/Datos!K19)*11)/factor_trimestre," - ")</f>
        <v>5.1365108745950954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4.6814044213263982E-2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0</v>
      </c>
      <c r="AM21" s="735"/>
      <c r="AN21" s="735">
        <f>IF(ISNUMBER(STDEV(AN8:AN18)),STDEV(AN8:AN18),"-")</f>
        <v>0</v>
      </c>
      <c r="AO21" s="741">
        <f>IF(ISNUMBER(STDEV(AO8:AO18)),STDEV(AO8:AO18),"-")</f>
        <v>0</v>
      </c>
      <c r="AP21" s="778">
        <f>IF(ISNUMBER(STDEV(AP8:AP18)),STDEV(AP8:AP18),"-")</f>
        <v>4.9228985894263424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Iu8O+9kuk/aXUUvU9MlWlZIuZQ+/+trzeQC/IWvf8BwC/XFvLMVAj2LcU/keVXuMIBVK3pL6rvNBf7XXJybig==" saltValue="8G3iJwMrZU2oN3/NzOV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CRISTOBAL DE LA LAGUNA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SoJ7Y0yzoSz5Bqwn/uk6QPyzBZKKdY08yT2S+/QRWykWvWxgPIdlTsQLUGUjRSnLiqjrWl0UkNg+2qJAZeKZw==" saltValue="YAcB+j33dH7Q0zXO7m4x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CRISTOBAL DE LA LAGUNA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1531</v>
      </c>
      <c r="E9" s="403">
        <f t="shared" ref="E9:E13" si="0">IF(ISNUMBER(D9/B9),D9/B9," - ")</f>
        <v>218.71428571428572</v>
      </c>
      <c r="F9" s="402">
        <f>IF(ISNUMBER(Datos!N9),Datos!N9," - ")</f>
        <v>999</v>
      </c>
      <c r="G9" s="403">
        <f t="shared" ref="G9:G13" si="1">IF(ISNUMBER(F9/B9),F9/B9," - ")</f>
        <v>142.71428571428572</v>
      </c>
      <c r="H9" s="402">
        <f>IF(ISNUMBER(Datos!O9),Datos!O9," - ")</f>
        <v>537</v>
      </c>
      <c r="I9" s="403">
        <f>IF(ISNUMBER(H9/B9),H9/B9," - ")</f>
        <v>76.714285714285708</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1</v>
      </c>
      <c r="D11" s="402">
        <f>IF(ISNUMBER(Datos!M11),Datos!M11," - ")</f>
        <v>117</v>
      </c>
      <c r="E11" s="403">
        <f t="shared" si="0"/>
        <v>58.5</v>
      </c>
      <c r="F11" s="402">
        <f>IF(ISNUMBER(Datos!N11),Datos!N11," - ")</f>
        <v>38</v>
      </c>
      <c r="G11" s="403">
        <f t="shared" si="1"/>
        <v>19</v>
      </c>
      <c r="H11" s="402">
        <f>IF(ISNUMBER(Datos!O11),Datos!O11," - ")</f>
        <v>2</v>
      </c>
      <c r="I11" s="403">
        <f t="shared" si="2"/>
        <v>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8</v>
      </c>
      <c r="D13" s="848">
        <f>SUBTOTAL(9,D9:D12)</f>
        <v>1648</v>
      </c>
      <c r="E13" s="849">
        <f t="shared" si="0"/>
        <v>183.11111111111111</v>
      </c>
      <c r="F13" s="848">
        <f>SUBTOTAL(9,F9:F12)</f>
        <v>1037</v>
      </c>
      <c r="G13" s="849">
        <f t="shared" si="1"/>
        <v>115.22222222222223</v>
      </c>
      <c r="H13" s="848">
        <f>SUBTOTAL(9,H9:H12)</f>
        <v>539</v>
      </c>
      <c r="I13" s="849">
        <f>IF(ISNUMBER(H13/B13),H13/B13," - ")</f>
        <v>59.888888888888886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463</v>
      </c>
      <c r="E15" s="403">
        <f t="shared" ref="E15:E18" si="3">IF(ISNUMBER(D15/B15),D15/B15," - ")</f>
        <v>115.75</v>
      </c>
      <c r="F15" s="402">
        <f>IF(ISNUMBER(Datos!N15),Datos!N15," - ")</f>
        <v>2154</v>
      </c>
      <c r="G15" s="403">
        <f t="shared" ref="G15:G18" si="4">IF(ISNUMBER(F15/B15),F15/B15," - ")</f>
        <v>538.5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463</v>
      </c>
      <c r="E18" s="849">
        <f t="shared" si="3"/>
        <v>115.75</v>
      </c>
      <c r="F18" s="848">
        <f>SUBTOTAL(9,F15:F17)</f>
        <v>2154</v>
      </c>
      <c r="G18" s="849">
        <f t="shared" si="4"/>
        <v>538.5</v>
      </c>
      <c r="H18" s="848">
        <f>SUBTOTAL(9,H15:H17)</f>
        <v>0</v>
      </c>
      <c r="I18" s="849">
        <f>IF(ISNUMBER(H18/B18),H18/B18," - ")</f>
        <v>0</v>
      </c>
      <c r="BZ18" s="1185"/>
    </row>
    <row r="19" spans="1:78" ht="14.25" thickTop="1" thickBot="1">
      <c r="A19" s="792" t="str">
        <f>Datos!A19</f>
        <v>TOTAL JURISDICCIONES</v>
      </c>
      <c r="B19" s="793">
        <f>Datos!AP19</f>
        <v>13</v>
      </c>
      <c r="C19" s="793">
        <f>Datos!AR19</f>
        <v>12</v>
      </c>
      <c r="D19" s="793">
        <f>SUBTOTAL(9,D8:D18)</f>
        <v>2111</v>
      </c>
      <c r="E19" s="794">
        <f>IF(ISNUMBER(D19/B19),D19/B19," - ")</f>
        <v>162.38461538461539</v>
      </c>
      <c r="F19" s="793">
        <f>SUBTOTAL(9,F8:F18)</f>
        <v>3191</v>
      </c>
      <c r="G19" s="794">
        <f>IF(ISNUMBER(F19/B19),F19/B19," - ")</f>
        <v>245.46153846153845</v>
      </c>
      <c r="H19" s="793">
        <f>SUBTOTAL(9,H8:H18)</f>
        <v>539</v>
      </c>
      <c r="I19" s="794">
        <f>IF(ISNUMBER(H19/B19),H19/B19," - ")</f>
        <v>41.46153846153846</v>
      </c>
    </row>
    <row r="22" spans="1:78">
      <c r="A22" s="390" t="str">
        <f>Criterios!A4</f>
        <v>Fecha Informe: 17 mar. 2026</v>
      </c>
    </row>
    <row r="27" spans="1:78">
      <c r="A27" s="413"/>
    </row>
  </sheetData>
  <sheetProtection algorithmName="SHA-512" hashValue="jUD3QQRURXdHDYCiQF9Iuwln6BkfdcLxYZJBIWPlZSScTrOB6McHTRRveroODwkGgZwrxC15+WII/9gpURAssA==" saltValue="nGGnkXl4fuVXjnRpcaBf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CRISTOBAL DE LA LAGUNA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850</v>
      </c>
      <c r="C9" s="433">
        <f>IF(ISNUMBER(Datos!Q9),Datos!Q9," - ")</f>
        <v>207</v>
      </c>
      <c r="D9" s="407">
        <f>IF(ISNUMBER(Datos!R9),Datos!R9," - ")</f>
        <v>13933</v>
      </c>
    </row>
    <row r="10" spans="1:4">
      <c r="A10" s="401" t="str">
        <f>Datos!A10</f>
        <v>Jdos. Violencia contra la mujer/Secc Viol. TI.</v>
      </c>
      <c r="B10" s="432">
        <f>IF(ISNUMBER(Datos!P10),Datos!P10," - ")</f>
        <v>0</v>
      </c>
      <c r="C10" s="433">
        <f>IF(ISNUMBER(Datos!Q10),Datos!Q10," - ")</f>
        <v>0</v>
      </c>
      <c r="D10" s="407">
        <f>IF(ISNUMBER(Datos!R10),Datos!R10," - ")</f>
        <v>66</v>
      </c>
    </row>
    <row r="11" spans="1:4">
      <c r="A11" s="401" t="str">
        <f>Datos!A11</f>
        <v xml:space="preserve">Jdos. Familia                                   </v>
      </c>
      <c r="B11" s="432">
        <f>IF(ISNUMBER(Datos!P11),Datos!P11," - ")</f>
        <v>3</v>
      </c>
      <c r="C11" s="433">
        <f>IF(ISNUMBER(Datos!Q11),Datos!Q11," - ")</f>
        <v>1</v>
      </c>
      <c r="D11" s="407">
        <f>IF(ISNUMBER(Datos!R11),Datos!R11," - ")</f>
        <v>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853</v>
      </c>
      <c r="C13" s="852">
        <f>SUBTOTAL(9,C9:C12)</f>
        <v>208</v>
      </c>
      <c r="D13" s="850">
        <f>SUBTOTAL(9,D9:D12)</f>
        <v>14008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36</v>
      </c>
      <c r="C15" s="433">
        <f>IF(ISNUMBER(Datos!Q15),Datos!Q15," - ")</f>
        <v>33</v>
      </c>
      <c r="D15" s="407">
        <f>IF(ISNUMBER(Datos!R15),Datos!R15," - ")</f>
        <v>482</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36</v>
      </c>
      <c r="C18" s="852">
        <f>SUBTOTAL(9,C15:C17)</f>
        <v>33</v>
      </c>
      <c r="D18" s="850">
        <f>SUBTOTAL(9,D15:D17)</f>
        <v>482</v>
      </c>
    </row>
    <row r="19" spans="1:4" ht="16.5" customHeight="1" thickTop="1" thickBot="1">
      <c r="A19" s="792" t="str">
        <f>Datos!A19</f>
        <v>TOTAL JURISDICCIONES</v>
      </c>
      <c r="B19" s="797">
        <f>SUBTOTAL(9,B8:B18)</f>
        <v>889</v>
      </c>
      <c r="C19" s="798">
        <f>SUBTOTAL(9,C8:C18)</f>
        <v>241</v>
      </c>
      <c r="D19" s="799">
        <f>SUBTOTAL(9,D8:D18)</f>
        <v>14490</v>
      </c>
    </row>
    <row r="20" spans="1:4" ht="7.5" customHeight="1"/>
    <row r="21" spans="1:4" ht="6" customHeight="1"/>
    <row r="22" spans="1:4">
      <c r="A22" s="390" t="str">
        <f>Criterios!A4</f>
        <v>Fecha Informe: 17 mar. 2026</v>
      </c>
    </row>
    <row r="27" spans="1:4">
      <c r="A27" s="413"/>
    </row>
  </sheetData>
  <sheetProtection algorithmName="SHA-512" hashValue="5FunSWy242Iv6QMgyXr5zOZvGwWHIyICyFdvuC++g7hhDzSa64pHRzEno0B/TYZykhTylSThvqEmpEDYXaqsSw==" saltValue="K0tjDqddVFvB7gEMG+9k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CRISTOBAL DE LA LAGUNA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-8.0523964256701872E-2</v>
      </c>
      <c r="C9" s="455">
        <f>IF(ISNUMBER(
   IF(J_V="SI",(Datos!J9-Datos!T9)/Datos!T9,(Datos!J9+Datos!Z9-(Datos!T9+Datos!AH9))/(Datos!T9+Datos!AH9))
     ),IF(J_V="SI",(Datos!J9-Datos!T9)/Datos!T9,(Datos!J9+Datos!Z9-(Datos!T9+Datos!AH9))/(Datos!T9+Datos!AH9))," - ")</f>
        <v>-0.24236983842010773</v>
      </c>
      <c r="D9" s="455">
        <f>IF(ISNUMBER(
   IF(J_V="SI",(Datos!K9-Datos!U9)/Datos!U9,(Datos!K9+Datos!AA9-(Datos!U9+Datos!AI9))/(Datos!U9+Datos!AI9))
     ),IF(J_V="SI",(Datos!K9-Datos!U9)/Datos!U9,(Datos!K9+Datos!AA9-(Datos!U9+Datos!AI9))/(Datos!U9+Datos!AI9))," - ")</f>
        <v>-0.36489068138399489</v>
      </c>
      <c r="E9" s="455">
        <f>IF(ISNUMBER(
   IF(J_V="SI",(Datos!L9-Datos!V9)/Datos!V9,(Datos!L9+Datos!AB9-(Datos!V9+Datos!AJ9))/(Datos!V9+Datos!AJ9))
     ),IF(J_V="SI",(Datos!L9-Datos!V9)/Datos!V9,(Datos!L9+Datos!AB9-(Datos!V9+Datos!AJ9))/(Datos!V9+Datos!AJ9))," - ")</f>
        <v>4.9105576990529642E-3</v>
      </c>
      <c r="F9" s="455">
        <f>IF(ISNUMBER((Datos!M9-Datos!W9)/Datos!W9),(Datos!M9-Datos!W9)/Datos!W9," - ")</f>
        <v>-0.16702937976060936</v>
      </c>
      <c r="G9" s="456">
        <f>IF(ISNUMBER((Datos!N9-Datos!X9)/Datos!X9),(Datos!N9-Datos!X9)/Datos!X9," - ")</f>
        <v>-0.31715652768284347</v>
      </c>
      <c r="H9" s="454">
        <f>IF(ISNUMBER(((NºAsuntos!G9/NºAsuntos!E9)-Datos!BD9)/Datos!BD9),((NºAsuntos!G9/NºAsuntos!E9)-Datos!BD9)/Datos!BD9," - ")</f>
        <v>-0.1617158993622872</v>
      </c>
      <c r="I9" s="455">
        <f>IF(ISNUMBER(((NºAsuntos!I9/NºAsuntos!G9)-Datos!BE9)/Datos!BE9),((NºAsuntos!I9/NºAsuntos!G9)-Datos!BE9)/Datos!BE9," - ")</f>
        <v>0.58226391621665718</v>
      </c>
      <c r="J9" s="460">
        <f>IF(ISNUMBER((('Resol  Asuntos'!D9/NºAsuntos!G9)-Datos!BF9)/Datos!BF9),(('Resol  Asuntos'!D9/NºAsuntos!G9)-Datos!BF9)/Datos!BF9," - ")</f>
        <v>0.64771607860194969</v>
      </c>
      <c r="K9" s="461">
        <f>IF(ISNUMBER((((NºAsuntos!C9+NºAsuntos!E9)/NºAsuntos!G9)-Datos!BG9)/Datos!BG9),(((NºAsuntos!C9+NºAsuntos!E9)/NºAsuntos!G9)-Datos!BG9)/Datos!BG9," - ")</f>
        <v>0.38317689730106674</v>
      </c>
    </row>
    <row r="10" spans="1:11" ht="21">
      <c r="A10" s="401" t="str">
        <f>Datos!A10</f>
        <v>Jdos. Violencia contra la mujer/Secc Viol. TI.</v>
      </c>
      <c r="B10" s="454">
        <f>IF(ISNUMBER((Datos!I10-Datos!S10)/Datos!S10),(Datos!I10-Datos!S10)/Datos!S10," - ")</f>
        <v>-0.84615384615384615</v>
      </c>
      <c r="C10" s="455">
        <f>IF(ISNUMBER((Datos!J10-Datos!T10)/Datos!T10),(Datos!J10-Datos!T10)/Datos!T10," - ")</f>
        <v>-1</v>
      </c>
      <c r="D10" s="455">
        <f>IF(ISNUMBER((Datos!K10-Datos!U10)/Datos!U10),(Datos!K10-Datos!U10)/Datos!U10," - ")</f>
        <v>-1</v>
      </c>
      <c r="E10" s="455">
        <f>IF(ISNUMBER((Datos!L10-Datos!V10)/Datos!V10),(Datos!L10-Datos!V10)/Datos!V10," - ")</f>
        <v>-0.81818181818181823</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1.1091703056768558</v>
      </c>
      <c r="C11" s="455">
        <f>IF(ISNUMBER(
   IF(J_V="SI",(Datos!J11-Datos!T11)/Datos!T11,(Datos!J11+Datos!Z11-(Datos!T11+Datos!AH11))/(Datos!T11+Datos!AH11))
     ),IF(J_V="SI",(Datos!J11-Datos!T11)/Datos!T11,(Datos!J11+Datos!Z11-(Datos!T11+Datos!AH11))/(Datos!T11+Datos!AH11))," - ")</f>
        <v>-6.0941828254847646E-2</v>
      </c>
      <c r="D11" s="455">
        <f>IF(ISNUMBER(
   IF(J_V="SI",(Datos!K11-Datos!U11)/Datos!U11,(Datos!K11+Datos!AA11-(Datos!U11+Datos!AI11))/(Datos!U11+Datos!AI11))
     ),IF(J_V="SI",(Datos!K11-Datos!U11)/Datos!U11,(Datos!K11+Datos!AA11-(Datos!U11+Datos!AI11))/(Datos!U11+Datos!AI11))," - ")</f>
        <v>-6.0869565217391307E-2</v>
      </c>
      <c r="E11" s="455">
        <f>IF(ISNUMBER(
   IF(J_V="SI",(Datos!L11-Datos!V11)/Datos!V11,(Datos!L11+Datos!AB11-(Datos!V11+Datos!AJ11))/(Datos!V11+Datos!AJ11))
     ),IF(J_V="SI",(Datos!L11-Datos!V11)/Datos!V11,(Datos!L11+Datos!AB11-(Datos!V11+Datos!AJ11))/(Datos!V11+Datos!AJ11))," - ")</f>
        <v>0.68333333333333335</v>
      </c>
      <c r="F11" s="455">
        <f>IF(ISNUMBER((Datos!M11-Datos!W11)/Datos!W11),(Datos!M11-Datos!W11)/Datos!W11," - ")</f>
        <v>0.42682926829268292</v>
      </c>
      <c r="G11" s="456">
        <f>IF(ISNUMBER((Datos!N11-Datos!X11)/Datos!X11),(Datos!N11-Datos!X11)/Datos!X11," - ")</f>
        <v>-0.40625</v>
      </c>
      <c r="H11" s="454">
        <f>IF(ISNUMBER(((NºAsuntos!G11/NºAsuntos!E11)-Datos!BD11)/Datos!BD11),((NºAsuntos!G11/NºAsuntos!E11)-Datos!BD11)/Datos!BD11," - ")</f>
        <v>7.6952674105375081E-5</v>
      </c>
      <c r="I11" s="455">
        <f>IF(ISNUMBER(((NºAsuntos!I11/NºAsuntos!G11)-Datos!BE11)/Datos!BE11),((NºAsuntos!I11/NºAsuntos!G11)-Datos!BE11)/Datos!BE11," - ")</f>
        <v>0.79243827160493807</v>
      </c>
      <c r="J11" s="460">
        <f>IF(ISNUMBER((('Resol  Asuntos'!D11/NºAsuntos!G11)-Datos!BF11)/Datos!BF11),(('Resol  Asuntos'!D11/NºAsuntos!G11)-Datos!BF11)/Datos!BF11," - ")</f>
        <v>0.94661458333333315</v>
      </c>
      <c r="K11" s="461">
        <f>IF(ISNUMBER((((NºAsuntos!C11+NºAsuntos!E11)/NºAsuntos!G11)-Datos!BG11)/Datos!BG11),(((NºAsuntos!C11+NºAsuntos!E11)/NºAsuntos!G11)-Datos!BG11)/Datos!BG11," - ")</f>
        <v>0.4835216572504708</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-5.4509415262636272E-2</v>
      </c>
      <c r="C13" s="854">
        <f>IF(ISNUMBER(
   IF(J_V="SI",(Datos!J13-Datos!T13)/Datos!T13,(Datos!J13+Datos!Z13-(Datos!T13+Datos!AH13))/(Datos!T13+Datos!AH13))
     ),IF(J_V="SI",(Datos!J13-Datos!T13)/Datos!T13,(Datos!J13+Datos!Z13-(Datos!T13+Datos!AH13))/(Datos!T13+Datos!AH13))," - ")</f>
        <v>-0.22489200863930886</v>
      </c>
      <c r="D13" s="854">
        <f>IF(ISNUMBER(
   IF(J_V="SI",(Datos!K13-Datos!U13)/Datos!U13,(Datos!K13+Datos!AA13-(Datos!U13+Datos!AI13))/(Datos!U13+Datos!AI13))
     ),IF(J_V="SI",(Datos!K13-Datos!U13)/Datos!U13,(Datos!K13+Datos!AA13-(Datos!U13+Datos!AI13))/(Datos!U13+Datos!AI13))," - ")</f>
        <v>-0.35113268608414239</v>
      </c>
      <c r="E13" s="854">
        <f>IF(ISNUMBER(
   IF(J_V="SI",(Datos!L13-Datos!V13)/Datos!V13,(Datos!L13+Datos!AB13-(Datos!V13+Datos!AJ13))/(Datos!V13+Datos!AJ13))
     ),IF(J_V="SI",(Datos!L13-Datos!V13)/Datos!V13,(Datos!L13+Datos!AB13-(Datos!V13+Datos!AJ13))/(Datos!V13+Datos!AJ13))," - ")</f>
        <v>3.1264007171671895E-2</v>
      </c>
      <c r="F13" s="855">
        <f>IF(ISNUMBER((Datos!M13-Datos!W13)/Datos!W13),(Datos!M13-Datos!W13)/Datos!W13," - ")</f>
        <v>-0.14211348256116607</v>
      </c>
      <c r="G13" s="856">
        <f>IF(ISNUMBER((Datos!N13-Datos!X13)/Datos!X13),(Datos!N13-Datos!X13)/Datos!X13," - ")</f>
        <v>-0.32089063523248201</v>
      </c>
      <c r="H13" s="856">
        <f>IF(ISNUMBER(((NºAsuntos!G13/NºAsuntos!E13)-Datos!BD13)/Datos!BD13),((NºAsuntos!G13/NºAsuntos!E13)-Datos!BD13)/Datos!BD13," - ")</f>
        <v>-0.16286850200475911</v>
      </c>
      <c r="I13" s="856">
        <f>IF(ISNUMBER(((NºAsuntos!I13/NºAsuntos!G13)-Datos!BE13)/Datos!BE13),((NºAsuntos!I13/NºAsuntos!G13)-Datos!BE13)/Datos!BE13," - ")</f>
        <v>0.58932956716232743</v>
      </c>
      <c r="J13" s="856">
        <f>IF(ISNUMBER((('Resol  Asuntos'!D13/NºAsuntos!G13)-Datos!BF13)/Datos!BF13),(('Resol  Asuntos'!D13/NºAsuntos!G13)-Datos!BF13)/Datos!BF13," - ")</f>
        <v>0.66217962946038045</v>
      </c>
      <c r="K13" s="856">
        <f>IF(ISNUMBER((((NºAsuntos!C13+NºAsuntos!E13)/NºAsuntos!G13)-Datos!BG13)/Datos!BG13),(((NºAsuntos!C13+NºAsuntos!E13)/NºAsuntos!G13)-Datos!BG13)/Datos!BG13," - ")</f>
        <v>0.38663020569498402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5.7413879181228158E-2</v>
      </c>
      <c r="C15" s="455">
        <f>IF(ISNUMBER(
   IF(D_I="SI",(Datos!J15-Datos!T15)/Datos!T15,(Datos!J15+Datos!AD15-(Datos!T15+Datos!AL15))/(Datos!T15+Datos!AL15))
     ),IF(D_I="SI",(Datos!J15-Datos!T15)/Datos!T15,(Datos!J15+Datos!AD15-(Datos!T15+Datos!AL15))/(Datos!T15+Datos!AL15))," - ")</f>
        <v>6.7197452229299362E-2</v>
      </c>
      <c r="D15" s="455">
        <f>IF(ISNUMBER(
   IF(D_I="SI",(Datos!K15-Datos!U15)/Datos!U15,(Datos!K15+Datos!AE15-(Datos!U15+Datos!AM15))/(Datos!U15+Datos!AM15))
     ),IF(D_I="SI",(Datos!K15-Datos!U15)/Datos!U15,(Datos!K15+Datos!AE15-(Datos!U15+Datos!AM15))/(Datos!U15+Datos!AM15))," - ")</f>
        <v>4.2961608775137113E-2</v>
      </c>
      <c r="E15" s="455">
        <f>IF(ISNUMBER(
   IF(D_I="SI",(Datos!L15-Datos!V15)/Datos!V15,(Datos!L15+Datos!AF15-(Datos!V15+Datos!AN15))/(Datos!V15+Datos!AN15))
     ),IF(D_I="SI",(Datos!L15-Datos!V15)/Datos!V15,(Datos!L15+Datos!AF15-(Datos!V15+Datos!AN15))/(Datos!V15+Datos!AN15))," - ")</f>
        <v>0.10151753008895865</v>
      </c>
      <c r="F15" s="455">
        <f>IF(ISNUMBER((Datos!M15-Datos!W15)/Datos!W15),(Datos!M15-Datos!W15)/Datos!W15," - ")</f>
        <v>-0.17761989342806395</v>
      </c>
      <c r="G15" s="456">
        <f>IF(ISNUMBER((Datos!N15-Datos!X15)/Datos!X15),(Datos!N15-Datos!X15)/Datos!X15," - ")</f>
        <v>5.6022408963585435E-3</v>
      </c>
      <c r="H15" s="454">
        <f>IF(ISNUMBER(((NºAsuntos!G15/NºAsuntos!E15)-Datos!BD15)/Datos!BD15),((NºAsuntos!G15/NºAsuntos!E15)-Datos!BD15)/Datos!BD15," - ")</f>
        <v>-2.2709802580146148E-2</v>
      </c>
      <c r="I15" s="455">
        <f>IF(ISNUMBER(((NºAsuntos!I15/NºAsuntos!G15)-Datos!BE15)/Datos!BE15),((NºAsuntos!I15/NºAsuntos!G15)-Datos!BE15)/Datos!BE15," - ")</f>
        <v>5.6143889498090141E-2</v>
      </c>
      <c r="J15" s="460">
        <f>IF(ISNUMBER((('Resol  Asuntos'!D15/NºAsuntos!G15)-Datos!BF15)/Datos!BF15),(('Resol  Asuntos'!D15/NºAsuntos!G15)-Datos!BF15)/Datos!BF15," - ")</f>
        <v>-0.21149532288370018</v>
      </c>
      <c r="K15" s="461">
        <f>IF(ISNUMBER((((NºAsuntos!C15+NºAsuntos!E15)/NºAsuntos!G15)-Datos!BG15)/Datos!BG15),(((NºAsuntos!C15+NºAsuntos!E15)/NºAsuntos!G15)-Datos!BG15)/Datos!BG15," - ")</f>
        <v>1.9584152655609473E-2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-0.94736842105263153</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-0.97368421052631582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-0.92500000000000004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4.7712739793408752E-2</v>
      </c>
      <c r="C18" s="854">
        <f>IF(ISNUMBER(
   IF(Criterios!B14="SI",(Datos!J18-Datos!T18)/Datos!T18,(Datos!J18+Datos!AD18-(Datos!T18+Datos!AL18))/(Datos!T18+Datos!AL18))
     ),IF(Criterios!B14="SI",(Datos!J18-Datos!T18)/Datos!T18,(Datos!J18+Datos!AD18-(Datos!T18+Datos!AL18))/(Datos!T18+Datos!AL18))," - ")</f>
        <v>6.7197452229299362E-2</v>
      </c>
      <c r="D18" s="854">
        <f>IF(ISNUMBER(
   IF(Criterios!B14="SI",(Datos!K18-Datos!U18)/Datos!U18,(Datos!K18+Datos!AE18-(Datos!U18+Datos!AM18))/(Datos!U18+Datos!AM18))
     ),IF(Criterios!B14="SI",(Datos!K18-Datos!U18)/Datos!U18,(Datos!K18+Datos!AE18-(Datos!U18+Datos!AM18))/(Datos!U18+Datos!AM18))," - ")</f>
        <v>4.3253122144380138E-2</v>
      </c>
      <c r="E18" s="854">
        <f>IF(ISNUMBER(
   IF(Criterios!B14="SI",(Datos!L18-Datos!V18)/Datos!V18,(Datos!L18+Datos!AF18-(Datos!V18+Datos!AN18))/(Datos!V18+Datos!AN18))
     ),IF(Criterios!B14="SI",(Datos!L18-Datos!V18)/Datos!V18,(Datos!L18+Datos!AF18-(Datos!V18+Datos!AN18))/(Datos!V18+Datos!AN18))," - ")</f>
        <v>9.0206185567010308E-2</v>
      </c>
      <c r="F18" s="855">
        <f>IF(ISNUMBER((Datos!M18-Datos!W18)/Datos!W18),(Datos!M18-Datos!W18)/Datos!W18," - ")</f>
        <v>-0.17761989342806395</v>
      </c>
      <c r="G18" s="856">
        <f>IF(ISNUMBER((Datos!N18-Datos!X18)/Datos!X18),(Datos!N18-Datos!X18)/Datos!X18," - ")</f>
        <v>5.6022408963585435E-3</v>
      </c>
      <c r="H18" s="856">
        <f>IF(ISNUMBER(((NºAsuntos!G18/NºAsuntos!E18)-Datos!BD18)/Datos!BD18),((NºAsuntos!G18/NºAsuntos!E18)-Datos!BD18)/Datos!BD18," - ")</f>
        <v>-2.2436644722962095E-2</v>
      </c>
      <c r="I18" s="856">
        <f>IF(ISNUMBER(((NºAsuntos!I18/NºAsuntos!G18)-Datos!BE18)/Datos!BE18),((NºAsuntos!I18/NºAsuntos!G18)-Datos!BE18)/Datos!BE18," - ")</f>
        <v>4.500639626758976E-2</v>
      </c>
      <c r="J18" s="856">
        <f>IF(ISNUMBER((('Resol  Asuntos'!D18/NºAsuntos!G18)-Datos!BF18)/Datos!BF18),(('Resol  Asuntos'!D18/NºAsuntos!G18)-Datos!BF18)/Datos!BF18," - ")</f>
        <v>-0.21171565259104647</v>
      </c>
      <c r="K18" s="856">
        <f>IF(ISNUMBER((((NºAsuntos!C18+NºAsuntos!E18)/NºAsuntos!G18)-Datos!BG18)/Datos!BG18),(((NºAsuntos!C18+NºAsuntos!E18)/NºAsuntos!G18)-Datos!BG18)/Datos!BG18," - ")</f>
        <v>1.5611548452732505E-2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-3.7366988369215544E-2</v>
      </c>
      <c r="C19" s="801">
        <f>IF(ISNUMBER(
   IF(J_V="SI",(Datos!J19-Datos!T19)/Datos!T19,(Datos!J19+Datos!Z19-(Datos!T19+Datos!AH19))/(Datos!T19+Datos!AH19))
     ),IF(J_V="SI",(Datos!J19-Datos!T19)/Datos!T19,(Datos!J19+Datos!Z19-(Datos!T19+Datos!AH19))/(Datos!T19+Datos!AH19))," - ")</f>
        <v>-9.088252483927528E-2</v>
      </c>
      <c r="D19" s="801">
        <f>IF(ISNUMBER(
   IF(J_V="SI",(Datos!K19-Datos!U19)/Datos!U19,(Datos!K19+Datos!AA19-(Datos!U19+Datos!AI19))/(Datos!U19+Datos!AI19))
     ),IF(J_V="SI",(Datos!K19-Datos!U19)/Datos!U19,(Datos!K19+Datos!AA19-(Datos!U19+Datos!AI19))/(Datos!U19+Datos!AI19))," - ")</f>
        <v>-0.19375227908107451</v>
      </c>
      <c r="E19" s="801">
        <f>IF(ISNUMBER(
   IF(J_V="SI",(Datos!L19-Datos!V19)/Datos!V19,(Datos!L19+Datos!AB19-(Datos!V19+Datos!AJ19))/(Datos!V19+Datos!AJ19))
     ),IF(J_V="SI",(Datos!L19-Datos!V19)/Datos!V19,(Datos!L19+Datos!AB19-(Datos!V19+Datos!AJ19))/(Datos!V19+Datos!AJ19))," - ")</f>
        <v>4.1789396170839467E-2</v>
      </c>
      <c r="F19" s="802">
        <f>IF(ISNUMBER((Datos!M19-Datos!W19)/Datos!W19),(Datos!M19-Datos!W19)/Datos!W19," - ")</f>
        <v>-0.15016103059581321</v>
      </c>
      <c r="G19" s="803">
        <f>IF(ISNUMBER((Datos!N19-Datos!X19)/Datos!X19),(Datos!N19-Datos!X19)/Datos!X19," - ")</f>
        <v>-0.13028073044426275</v>
      </c>
      <c r="H19" s="804">
        <f>IF(ISNUMBER((Tasas!B19-Datos!BD19)/Datos!BD19),(Tasas!B19-Datos!BD19)/Datos!BD19," - ")</f>
        <v>-0.1131534230200697</v>
      </c>
      <c r="I19" s="805">
        <f>IF(ISNUMBER((Tasas!C19-Datos!BE19)/Datos!BE19),(Tasas!C19-Datos!BE19)/Datos!BE19," - ")</f>
        <v>0.29214553931818132</v>
      </c>
      <c r="J19" s="806">
        <f>IF(ISNUMBER((Tasas!D19-Datos!BF19)/Datos!BF19),(Tasas!D19-Datos!BF19)/Datos!BF19," - ")</f>
        <v>0.25217693685969239</v>
      </c>
      <c r="K19" s="806">
        <f>IF(ISNUMBER((Tasas!E19-Datos!BG19)/Datos!BG19),(Tasas!E19-Datos!BG19)/Datos!BG19," - ")</f>
        <v>0.1700158505678542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mjk1N3A0sy82CKhUhU9vnr7s6GKcgrQXUBcB4WsE+uZ100Gi0T6CfZsExU+KpRPrdNRJ2KasTWoVCA/5rjRmw==" saltValue="dvuTrqAY772wlIgNsEuY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CRISTOBAL DE LA LAGUNA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1.1816745655608214</v>
      </c>
      <c r="C9" s="442">
        <f>IF(ISNUMBER(NºAsuntos!I9/NºAsuntos!G9),NºAsuntos!I9/NºAsuntos!G9," - ")</f>
        <v>2.8726604278074865</v>
      </c>
      <c r="D9" s="443">
        <f>IF(ISNUMBER('Resol  Asuntos'!D9/NºAsuntos!G9),'Resol  Asuntos'!D9/NºAsuntos!G9," - ")</f>
        <v>0.51169786096256686</v>
      </c>
      <c r="E9" s="444">
        <f>IF(ISNUMBER((NºAsuntos!C9+NºAsuntos!E9)/NºAsuntos!G9),(NºAsuntos!C9+NºAsuntos!E9)/NºAsuntos!G9," - ")</f>
        <v>3.8726604278074865</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f>IF(ISNUMBER(NºAsuntos!G11/NºAsuntos!E11),NºAsuntos!G11/NºAsuntos!E11," - ")</f>
        <v>0.63716814159292035</v>
      </c>
      <c r="C11" s="442">
        <f>IF(ISNUMBER(NºAsuntos!I11/NºAsuntos!G11),NºAsuntos!I11/NºAsuntos!G11," - ")</f>
        <v>2.8055555555555554</v>
      </c>
      <c r="D11" s="443">
        <f>IF(ISNUMBER('Resol  Asuntos'!D11/NºAsuntos!G11),'Resol  Asuntos'!D11/NºAsuntos!G11," - ")</f>
        <v>0.54166666666666663</v>
      </c>
      <c r="E11" s="444">
        <f>IF(ISNUMBER((NºAsuntos!C11+NºAsuntos!E11)/NºAsuntos!G11),(NºAsuntos!C11+NºAsuntos!E11)/NºAsuntos!G11," - ")</f>
        <v>3.8055555555555554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1.1173807035876002</v>
      </c>
      <c r="C13" s="858">
        <f>IF(ISNUMBER(NºAsuntos!I13/NºAsuntos!G13),NºAsuntos!I13/NºAsuntos!G13," - ")</f>
        <v>2.8687655860349128</v>
      </c>
      <c r="D13" s="859">
        <f>IF(ISNUMBER('Resol  Asuntos'!D13/NºAsuntos!G13),'Resol  Asuntos'!D13/NºAsuntos!G13," - ")</f>
        <v>0.513715710723192</v>
      </c>
      <c r="E13" s="860">
        <f>IF(ISNUMBER((NºAsuntos!C13+NºAsuntos!E13)/NºAsuntos!G13),(NºAsuntos!C13+NºAsuntos!E13)/NºAsuntos!G13," - ")</f>
        <v>3.8687655860349128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1.0214861235452104</v>
      </c>
      <c r="C15" s="442">
        <f>IF(ISNUMBER(NºAsuntos!I15/NºAsuntos!G15),NºAsuntos!I15/NºAsuntos!G15," - ")</f>
        <v>0.61495763949751681</v>
      </c>
      <c r="D15" s="443">
        <f>IF(ISNUMBER('Resol  Asuntos'!D15/NºAsuntos!G15),'Resol  Asuntos'!D15/NºAsuntos!G15," - ")</f>
        <v>0.13526146654981011</v>
      </c>
      <c r="E15" s="444">
        <f>IF(ISNUMBER((NºAsuntos!C15+NºAsuntos!E15)/NºAsuntos!G15),(NºAsuntos!C15+NºAsuntos!E15)/NºAsuntos!G15," - ")</f>
        <v>1.5977212971078001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1.0220829603103552</v>
      </c>
      <c r="C18" s="858">
        <f>IF(ISNUMBER(NºAsuntos!I18/NºAsuntos!G18),NºAsuntos!I18/NºAsuntos!G18," - ")</f>
        <v>0.61751824817518253</v>
      </c>
      <c r="D18" s="861">
        <f>IF(ISNUMBER('Resol  Asuntos'!D18/NºAsuntos!G18),'Resol  Asuntos'!D18/NºAsuntos!G18," - ")</f>
        <v>0.13518248175182482</v>
      </c>
      <c r="E18" s="860">
        <f>IF(ISNUMBER((NºAsuntos!C18+NºAsuntos!E18)/NºAsuntos!G18),(NºAsuntos!C18+NºAsuntos!E18)/NºAsuntos!G18," - ")</f>
        <v>1.6002919708029197</v>
      </c>
      <c r="G18" s="462"/>
    </row>
    <row r="19" spans="1:7" ht="15.75" customHeight="1" thickTop="1" thickBot="1">
      <c r="A19" s="792" t="str">
        <f>Datos!A19</f>
        <v>TOTAL JURISDICCIONES</v>
      </c>
      <c r="B19" s="807">
        <f>IF(ISNUMBER(NºAsuntos!G19/NºAsuntos!E19),NºAsuntos!G19/NºAsuntos!E19," - ")</f>
        <v>1.066055930568949</v>
      </c>
      <c r="C19" s="808">
        <f>IF(ISNUMBER(NºAsuntos!I19/NºAsuntos!G19),NºAsuntos!I19/NºAsuntos!G19," - ")</f>
        <v>1.7063169003467511</v>
      </c>
      <c r="D19" s="809">
        <f>IF(ISNUMBER('Resol  Asuntos'!D19/NºAsuntos!G19),'Resol  Asuntos'!D19/NºAsuntos!G19," - ")</f>
        <v>0.31825719885421377</v>
      </c>
      <c r="E19" s="810">
        <f>IF(ISNUMBER((NºAsuntos!C19+NºAsuntos!E19)/NºAsuntos!G19),(NºAsuntos!C19+NºAsuntos!E19)/NºAsuntos!G19," - ")</f>
        <v>2.6974219810040707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ivsdt4sgoT4/tL1nZbZCNGIVg4A3NMJrQEg+Ll8sbTc8uuXNpN6QYFNNrwlrw5jA6YPEWLnAU+aNyhuH4gBiQ==" saltValue="tvtfGFtIN0yXb1D0Tixj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CRISTOBAL DE LA 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850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207</v>
      </c>
      <c r="Y9" s="333">
        <f>SUM(W9:X9)</f>
        <v>207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13933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1531</v>
      </c>
      <c r="AJ9" s="228" t="str">
        <f>IF(ISNUMBER(Datos!BW9),Datos!BW9," - ")</f>
        <v xml:space="preserve"> - </v>
      </c>
      <c r="AK9" s="227" t="str">
        <f>IF(ISNUMBER(Datos!BX9),Datos!BX9," - ")</f>
        <v xml:space="preserve"> - </v>
      </c>
      <c r="AL9" s="242">
        <f>IF(ISNUMBER(NºAsuntos!G9/NºAsuntos!E9),NºAsuntos!G9/NºAsuntos!E9," - ")</f>
        <v>1.1816745655608214</v>
      </c>
      <c r="AM9" s="259">
        <f>IF(ISNUMBER(((NºAsuntos!I9/NºAsuntos!G9)*11)/factor_trimestre),((NºAsuntos!I9/NºAsuntos!G9)*11)/factor_trimestre," - ")</f>
        <v>8.6179812834224592</v>
      </c>
      <c r="AN9" s="243">
        <f>IF(ISNUMBER('Resol  Asuntos'!D9/NºAsuntos!G9),'Resol  Asuntos'!D9/NºAsuntos!G9," - ")</f>
        <v>0.51169786096256686</v>
      </c>
      <c r="AO9" s="244">
        <f>IF(ISNUMBER((NºAsuntos!C9+NºAsuntos!E9)/NºAsuntos!G9),(NºAsuntos!C9+NºAsuntos!E9)/NºAsuntos!G9," - ")</f>
        <v>3.8726604278074865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66</v>
      </c>
      <c r="AC10" s="333">
        <f t="shared" ref="AC10:AC12" si="1">IF(ISNUMBER(AA10+AB10),AA10+AB10," - ")</f>
        <v>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v>
      </c>
      <c r="Y11" s="333">
        <f t="shared" si="0"/>
        <v>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117</v>
      </c>
      <c r="AJ11" s="230" t="str">
        <f>IF(ISNUMBER(Datos!BW11),Datos!BW11," - ")</f>
        <v xml:space="preserve"> - </v>
      </c>
      <c r="AK11" s="231" t="str">
        <f>IF(ISNUMBER(Datos!BX11),Datos!BX11," - ")</f>
        <v xml:space="preserve"> - </v>
      </c>
      <c r="AL11" s="242">
        <f>IF(ISNUMBER(NºAsuntos!G11/NºAsuntos!E11),NºAsuntos!G11/NºAsuntos!E11," - ")</f>
        <v>0.63716814159292035</v>
      </c>
      <c r="AM11" s="259">
        <f>IF(ISNUMBER(((NºAsuntos!I11/NºAsuntos!G11)*11)/factor_trimestre),((NºAsuntos!I11/NºAsuntos!G11)*11)/factor_trimestre," - ")</f>
        <v>8.4166666666666661</v>
      </c>
      <c r="AN11" s="243">
        <f>IF(ISNUMBER('Resol  Asuntos'!D11/NºAsuntos!G11),'Resol  Asuntos'!D11/NºAsuntos!G11," - ")</f>
        <v>0.54166666666666663</v>
      </c>
      <c r="AO11" s="244">
        <f>IF(ISNUMBER((NºAsuntos!C11+NºAsuntos!E11)/NºAsuntos!G11),(NºAsuntos!C11+NºAsuntos!E11)/NºAsuntos!G11," - ")</f>
        <v>3.8055555555555554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v>
      </c>
      <c r="G13" s="865">
        <f t="shared" si="3"/>
        <v>2</v>
      </c>
      <c r="H13" s="864">
        <f t="shared" si="3"/>
        <v>0</v>
      </c>
      <c r="I13" s="866">
        <f t="shared" si="3"/>
        <v>0</v>
      </c>
      <c r="J13" s="866">
        <f t="shared" si="3"/>
        <v>0</v>
      </c>
      <c r="K13" s="866">
        <f t="shared" si="3"/>
        <v>0</v>
      </c>
      <c r="L13" s="866">
        <f t="shared" si="3"/>
        <v>853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208</v>
      </c>
      <c r="Y13" s="867">
        <f t="shared" si="4"/>
        <v>208</v>
      </c>
      <c r="Z13" s="867">
        <f t="shared" si="4"/>
        <v>0</v>
      </c>
      <c r="AA13" s="867">
        <f t="shared" si="4"/>
        <v>2</v>
      </c>
      <c r="AB13" s="867">
        <f t="shared" si="4"/>
        <v>14008</v>
      </c>
      <c r="AC13" s="867">
        <f t="shared" si="4"/>
        <v>68</v>
      </c>
      <c r="AD13" s="867">
        <f t="shared" si="4"/>
        <v>0</v>
      </c>
      <c r="AE13" s="871">
        <f t="shared" si="4"/>
        <v>0</v>
      </c>
      <c r="AF13" s="864">
        <f t="shared" si="4"/>
        <v>0</v>
      </c>
      <c r="AG13" s="872">
        <f t="shared" si="4"/>
        <v>0</v>
      </c>
      <c r="AH13" s="869">
        <f t="shared" si="4"/>
        <v>0</v>
      </c>
      <c r="AI13" s="864">
        <f t="shared" si="4"/>
        <v>1648</v>
      </c>
      <c r="AJ13" s="866">
        <f t="shared" si="4"/>
        <v>0</v>
      </c>
      <c r="AK13" s="869">
        <f>SUBTOTAL(9,AK9:AK12)</f>
        <v>0</v>
      </c>
      <c r="AL13" s="873">
        <f>IF(ISNUMBER(NºAsuntos!G13/NºAsuntos!E13),NºAsuntos!G13/NºAsuntos!E13," - ")</f>
        <v>1.1173807035876002</v>
      </c>
      <c r="AM13" s="873">
        <f>IF(ISNUMBER(((NºAsuntos!I13/NºAsuntos!G13)*11)/factor_trimestre),((NºAsuntos!I13/NºAsuntos!G13)*11)/factor_trimestre," - ")</f>
        <v>8.6062967581047385</v>
      </c>
      <c r="AN13" s="874">
        <f>IF(ISNUMBER('Resol  Asuntos'!D13/NºAsuntos!G13),'Resol  Asuntos'!D13/NºAsuntos!G13," - ")</f>
        <v>0.513715710723192</v>
      </c>
      <c r="AO13" s="875">
        <f>IF(ISNUMBER((NºAsuntos!C13+NºAsuntos!E13)/NºAsuntos!G13),(NºAsuntos!C13+NºAsuntos!E13)/NºAsuntos!G13," - ")</f>
        <v>3.8687655860349128</v>
      </c>
      <c r="AP13" s="876" t="str">
        <f t="shared" si="2"/>
        <v xml:space="preserve"> - </v>
      </c>
      <c r="AQ13" s="876">
        <f>IF(ISNUMBER((H13-W13+K13)/(F13)),(H13-W13+K13)/(F13)," - ")</f>
        <v>0</v>
      </c>
      <c r="AR13" s="877">
        <f>IF(ISNUMBER((Datos!P13-Datos!Q13)/(Datos!R13-Datos!P13+Datos!Q13)),(Datos!P13-Datos!Q13)/(Datos!R13-Datos!P13+Datos!Q13)," - ")</f>
        <v>4.8267604579809921E-2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2177</v>
      </c>
      <c r="G15" s="332">
        <f>IF(ISNUMBER(IF(D_I="SI",Datos!I15,Datos!I15+Datos!AC15)),IF(D_I="SI",Datos!I15,Datos!I15+Datos!AC15)," - ")</f>
        <v>2118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3423</v>
      </c>
      <c r="X15" s="225">
        <f>IF(ISNUMBER(Datos!Q15),Datos!Q15," - ")</f>
        <v>33</v>
      </c>
      <c r="Y15" s="333">
        <f>SUM(W15)</f>
        <v>3423</v>
      </c>
      <c r="Z15" s="334" t="str">
        <f>IF(ISNUMBER(Datos!CC15),Datos!CC15," - ")</f>
        <v xml:space="preserve"> - </v>
      </c>
      <c r="AA15" s="331">
        <f>IF(ISNUMBER(IF(D_I="SI",Datos!L15,Datos!L15+Datos!AF15)),IF(D_I="SI",Datos!L15,Datos!L15+Datos!AF15)," - ")</f>
        <v>2105</v>
      </c>
      <c r="AB15" s="333">
        <f>IF(ISNUMBER(Datos!R15),Datos!R15," - ")</f>
        <v>482</v>
      </c>
      <c r="AC15" s="333">
        <f t="shared" ref="AC15:AC17" si="6">IF(ISNUMBER(AA15+AB15),AA15+AB15," - ")</f>
        <v>2587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463</v>
      </c>
      <c r="AJ15" s="230" t="str">
        <f>IF(ISNUMBER(Datos!BW15),Datos!BW15," - ")</f>
        <v xml:space="preserve"> - </v>
      </c>
      <c r="AK15" s="231" t="str">
        <f>IF(ISNUMBER(Datos!BX15),Datos!BX15," - ")</f>
        <v xml:space="preserve"> - </v>
      </c>
      <c r="AL15" s="242">
        <f>IF(ISNUMBER(NºAsuntos!G15/NºAsuntos!E15),NºAsuntos!G15/NºAsuntos!E15," - ")</f>
        <v>1.0214861235452104</v>
      </c>
      <c r="AM15" s="259">
        <f>IF(ISNUMBER(((NºAsuntos!I15/NºAsuntos!G15)*11)/factor_trimestre),((NºAsuntos!I15/NºAsuntos!G15)*11)/factor_trimestre," - ")</f>
        <v>1.8448729184925503</v>
      </c>
      <c r="AN15" s="243">
        <f>IF(ISNUMBER('Resol  Asuntos'!D15/NºAsuntos!G15),'Resol  Asuntos'!D15/NºAsuntos!G15," - ")</f>
        <v>0.13526146654981011</v>
      </c>
      <c r="AO15" s="244">
        <f>IF(ISNUMBER((NºAsuntos!C15+NºAsuntos!E15)/NºAsuntos!G15),(NºAsuntos!C15+NºAsuntos!E15)/NºAsuntos!G15," - ")</f>
        <v>1.5977212971078001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9</v>
      </c>
      <c r="G16" s="332">
        <f>IF(ISNUMBER(IF(D_I="SI",Datos!I16,Datos!I16+Datos!AC16)),IF(D_I="SI",Datos!I16,Datos!I16+Datos!AC16)," - ")</f>
        <v>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9</v>
      </c>
      <c r="AB16" s="333">
        <f>IF(ISNUMBER(Datos!R16),Datos!R16," - ")</f>
        <v>0</v>
      </c>
      <c r="AC16" s="333">
        <f t="shared" si="6"/>
        <v>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1.5</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2186</v>
      </c>
      <c r="G18" s="865">
        <f>SUBTOTAL(9,G15:G17)</f>
        <v>2130</v>
      </c>
      <c r="H18" s="864">
        <f t="shared" ref="H18:O18" si="10">SUBTOTAL(9,H14:H17)</f>
        <v>0</v>
      </c>
      <c r="I18" s="866">
        <f t="shared" si="10"/>
        <v>0</v>
      </c>
      <c r="J18" s="866">
        <f t="shared" si="10"/>
        <v>0</v>
      </c>
      <c r="K18" s="866">
        <f t="shared" si="10"/>
        <v>0</v>
      </c>
      <c r="L18" s="866">
        <f t="shared" si="10"/>
        <v>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3425</v>
      </c>
      <c r="X18" s="866">
        <f t="shared" si="11"/>
        <v>33</v>
      </c>
      <c r="Y18" s="867">
        <f t="shared" si="11"/>
        <v>3425</v>
      </c>
      <c r="Z18" s="867">
        <f t="shared" si="11"/>
        <v>0</v>
      </c>
      <c r="AA18" s="867">
        <f t="shared" si="11"/>
        <v>2115</v>
      </c>
      <c r="AB18" s="867">
        <f t="shared" si="11"/>
        <v>482</v>
      </c>
      <c r="AC18" s="867">
        <f t="shared" si="11"/>
        <v>2597</v>
      </c>
      <c r="AD18" s="867">
        <f t="shared" si="11"/>
        <v>0</v>
      </c>
      <c r="AE18" s="871">
        <f t="shared" si="11"/>
        <v>0</v>
      </c>
      <c r="AF18" s="864">
        <f t="shared" si="11"/>
        <v>0</v>
      </c>
      <c r="AG18" s="872">
        <f t="shared" si="11"/>
        <v>0</v>
      </c>
      <c r="AH18" s="869">
        <f t="shared" si="11"/>
        <v>0</v>
      </c>
      <c r="AI18" s="864">
        <f t="shared" si="11"/>
        <v>463</v>
      </c>
      <c r="AJ18" s="866">
        <f t="shared" si="11"/>
        <v>0</v>
      </c>
      <c r="AK18" s="869">
        <f t="shared" si="11"/>
        <v>0</v>
      </c>
      <c r="AL18" s="873">
        <f>IF(ISNUMBER(NºAsuntos!G18/NºAsuntos!E18),NºAsuntos!G18/NºAsuntos!E18," - ")</f>
        <v>1.0220829603103552</v>
      </c>
      <c r="AM18" s="873">
        <f>IF(ISNUMBER(((NºAsuntos!I18/NºAsuntos!G18)*11)/factor_trimestre),((NºAsuntos!I18/NºAsuntos!G18)*11)/factor_trimestre," - ")</f>
        <v>1.8525547445255477</v>
      </c>
      <c r="AN18" s="874">
        <f>IF(ISNUMBER('Resol  Asuntos'!D18/NºAsuntos!G18),'Resol  Asuntos'!D18/NºAsuntos!G18," - ")</f>
        <v>0.13518248175182482</v>
      </c>
      <c r="AO18" s="875">
        <f>IF(ISNUMBER((NºAsuntos!C18+NºAsuntos!E18)/NºAsuntos!G18),(NºAsuntos!C18+NºAsuntos!E18)/NºAsuntos!G18," - ")</f>
        <v>1.6002919708029197</v>
      </c>
      <c r="AP18" s="876" t="str">
        <f t="shared" si="2"/>
        <v xml:space="preserve"> - </v>
      </c>
      <c r="AQ18" s="876">
        <f>IF(ISNUMBER((H18-W18+K18)/(F18)),(H18-W18+K18)/(F18)," - ")</f>
        <v>-1.5667886550777677</v>
      </c>
      <c r="AR18" s="877">
        <f>IF(ISNUMBER((Datos!P18-Datos!Q18)/(Datos!R18-Datos!P18+Datos!Q18)),(Datos!P18-Datos!Q18)/(Datos!R18-Datos!P18+Datos!Q18)," - ")</f>
        <v>6.2630480167014616E-3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2188</v>
      </c>
      <c r="G19" s="820">
        <f t="shared" si="13"/>
        <v>2132</v>
      </c>
      <c r="H19" s="819">
        <f t="shared" si="13"/>
        <v>0</v>
      </c>
      <c r="I19" s="821">
        <f t="shared" si="13"/>
        <v>0</v>
      </c>
      <c r="J19" s="821">
        <f t="shared" si="13"/>
        <v>0</v>
      </c>
      <c r="K19" s="880">
        <f t="shared" si="13"/>
        <v>0</v>
      </c>
      <c r="L19" s="821">
        <f t="shared" si="13"/>
        <v>889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3425</v>
      </c>
      <c r="X19" s="820">
        <f t="shared" si="14"/>
        <v>241</v>
      </c>
      <c r="Y19" s="827">
        <f t="shared" si="14"/>
        <v>3633</v>
      </c>
      <c r="Z19" s="827">
        <f t="shared" si="14"/>
        <v>0</v>
      </c>
      <c r="AA19" s="827">
        <f t="shared" si="14"/>
        <v>2117</v>
      </c>
      <c r="AB19" s="827">
        <f t="shared" si="14"/>
        <v>14490</v>
      </c>
      <c r="AC19" s="827">
        <f t="shared" si="14"/>
        <v>2665</v>
      </c>
      <c r="AD19" s="827">
        <f t="shared" si="14"/>
        <v>0</v>
      </c>
      <c r="AE19" s="829">
        <f t="shared" si="14"/>
        <v>0</v>
      </c>
      <c r="AF19" s="830">
        <f t="shared" si="14"/>
        <v>0</v>
      </c>
      <c r="AG19" s="831">
        <f t="shared" si="14"/>
        <v>0</v>
      </c>
      <c r="AH19" s="829">
        <f t="shared" si="14"/>
        <v>0</v>
      </c>
      <c r="AI19" s="819">
        <f t="shared" si="14"/>
        <v>2111</v>
      </c>
      <c r="AJ19" s="819">
        <f t="shared" si="14"/>
        <v>0</v>
      </c>
      <c r="AK19" s="829">
        <f t="shared" si="14"/>
        <v>0</v>
      </c>
      <c r="AL19" s="883">
        <f>IF(ISNUMBER(NºAsuntos!G19/NºAsuntos!E19),NºAsuntos!G19/NºAsuntos!E19," - ")</f>
        <v>1.066055930568949</v>
      </c>
      <c r="AM19" s="884">
        <f>IF(ISNUMBER(((NºAsuntos!I19/NºAsuntos!G19)*11)/factor_trimestre),((NºAsuntos!I19/NºAsuntos!G19)*11)/factor_trimestre," - ")</f>
        <v>5.1189507010402542</v>
      </c>
      <c r="AN19" s="884">
        <f>IF(ISNUMBER('Resol  Asuntos'!D19/NºAsuntos!G19),'Resol  Asuntos'!D19/NºAsuntos!G19," - ")</f>
        <v>0.31825719885421377</v>
      </c>
      <c r="AO19" s="885">
        <f>IF(ISNUMBER((NºAsuntos!C19+NºAsuntos!E19)/NºAsuntos!G19),(NºAsuntos!C19+NºAsuntos!E19)/NºAsuntos!G19," - ")</f>
        <v>2.6974219810040707</v>
      </c>
      <c r="AP19" s="886" t="str">
        <f t="shared" si="2"/>
        <v xml:space="preserve"> - </v>
      </c>
      <c r="AQ19" s="887">
        <f>IF(OR(ISNUMBER(FIND("01",Criterios!A8,1)),ISNUMBER(FIND("02",Criterios!A8,1)),ISNUMBER(FIND("03",Criterios!A8,1)),ISNUMBER(FIND("04",Criterios!A8,1))),(I19-W19+K19)/(F19-K19),(H19-W19+K19)/(F19-K19))</f>
        <v>-1.5653564899451553</v>
      </c>
      <c r="AR19" s="888">
        <f>IF(ISNUMBER((Datos!P19-Datos!Q19)/(Datos!R19-Datos!P19+Datos!Q19)),(Datos!P19-Datos!Q19)/(Datos!R19-Datos!P19+Datos!Q19)," - ")</f>
        <v>4.6814044213263982E-2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710.66666666666663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3.2015621187164243</v>
      </c>
      <c r="F21" s="251">
        <f>IF(ISNUMBER(STDEV(F8:F18)),STDEV(F8:F18),"-")</f>
        <v>1192.490964326355</v>
      </c>
      <c r="G21" s="252">
        <f>IF(ISNUMBER(STDEV(G8:G18)),STDEV(G8:G18),"-")</f>
        <v>1094.7729749435116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1767.8880809221682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683.91013402973601</v>
      </c>
      <c r="AJ21" s="251">
        <f t="shared" si="18"/>
        <v>0</v>
      </c>
      <c r="AK21" s="253">
        <f t="shared" si="18"/>
        <v>0</v>
      </c>
      <c r="AL21" s="248">
        <f t="shared" si="18"/>
        <v>0.21171825429548619</v>
      </c>
      <c r="AM21" s="249">
        <f t="shared" si="18"/>
        <v>3.7353144396964719</v>
      </c>
      <c r="AN21" s="249">
        <f t="shared" si="18"/>
        <v>0.2420587071013787</v>
      </c>
      <c r="AO21" s="250">
        <f t="shared" si="18"/>
        <v>1.25119440745482</v>
      </c>
      <c r="AP21" s="290" t="str">
        <f t="shared" si="18"/>
        <v>-</v>
      </c>
      <c r="AQ21" s="291">
        <f t="shared" si="18"/>
        <v>1.1078868826916402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5wgn/9yBOyLdRXHtYEBdo6IS+TqfpGht3wFxqcv6POy3RgEfxUI9etfEyk5UiDepdtRuR232/9epsLrWikAFw==" saltValue="uQfn3A69noNyV2PRXd9S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CRISTOBAL DE LA LAGUNA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-0.16702937976060936</v>
      </c>
      <c r="I9" s="349">
        <f>IF(ISNUMBER((Tasas!C9-Datos!BE9)/Datos!BE9),(Tasas!C9-Datos!BE9)/Datos!BE9," - ")</f>
        <v>0.58226391621665718</v>
      </c>
      <c r="J9" s="348">
        <f>IF(ISNUMBER((Tasas!D9-Datos!BF9)/Datos!BF9),(Tasas!D9-Datos!BF9)/Datos!BF9," - ")</f>
        <v>0.64771607860194969</v>
      </c>
      <c r="K9" s="350">
        <f>IF(ISNUMBER((Tasas!E9-Datos!BG9)/Datos!BG9),(Tasas!E9-Datos!BG9)/Datos!BG9," - ")</f>
        <v>0.38317689730106674</v>
      </c>
      <c r="M9" t="e">
        <f>IF(Monitorios="SI",Datos!CE9,0)</f>
        <v>#REF!</v>
      </c>
      <c r="N9" t="e">
        <f>IF(Monitorios="SI",Datos!CF9,0)</f>
        <v>#REF!</v>
      </c>
      <c r="O9" t="e">
        <f>IF(Monitorios="SI",Datos!CG9,0)</f>
        <v>#REF!</v>
      </c>
      <c r="P9" t="e">
        <f>IF(Monitorios="SI",Datos!CH9,0)</f>
        <v>#REF!</v>
      </c>
      <c r="Q9">
        <f>IF(J_V="SI",0,Datos!AG9)</f>
        <v>129</v>
      </c>
      <c r="R9">
        <f>IF(J_V="SI",0,Datos!AH9)</f>
        <v>100</v>
      </c>
      <c r="S9">
        <f>IF(J_V="SI",0,Datos!AI9)</f>
        <v>114</v>
      </c>
      <c r="T9">
        <f>IF(J_V="SI",0,Datos!AJ9)</f>
        <v>113</v>
      </c>
    </row>
    <row r="10" spans="2:20" ht="14.25">
      <c r="B10" s="274" t="s">
        <v>246</v>
      </c>
      <c r="C10" s="7" t="str">
        <f>Datos!A10</f>
        <v>Jdos. Violencia contra la mujer/Secc Viol. TI.</v>
      </c>
      <c r="D10" s="351">
        <f>IF(ISNUMBER((Datos!I10-Datos!S10)/Datos!S10),(Datos!I10-Datos!S10)/Datos!S10," - ")</f>
        <v>-0.84615384615384615</v>
      </c>
      <c r="E10" s="347">
        <f>IF(ISNUMBER((Datos!J10-Datos!T10)/Datos!T10),(Datos!J10-Datos!T10)/Datos!T10," - ")</f>
        <v>-1</v>
      </c>
      <c r="F10" s="347">
        <f>IF(ISNUMBER((Datos!K10-Datos!U10)/Datos!U10),(Datos!K10-Datos!U10)/Datos!U10," - ")</f>
        <v>-1</v>
      </c>
      <c r="G10" s="348">
        <f>IF(ISNUMBER((Datos!L10-Datos!V10)/Datos!V10),(Datos!L10-Datos!V10)/Datos!V10," - ")</f>
        <v>-0.81818181818181823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0.42682926829268292</v>
      </c>
      <c r="I11" s="349">
        <f>IF(ISNUMBER((Tasas!C11-Datos!BE11)/Datos!BE11),(Tasas!C11-Datos!BE11)/Datos!BE11," - ")</f>
        <v>0.79243827160493807</v>
      </c>
      <c r="J11" s="348">
        <f>IF(ISNUMBER((Tasas!D11-Datos!BF11)/Datos!BF11),(Tasas!D11-Datos!BF11)/Datos!BF11," - ")</f>
        <v>0.94661458333333315</v>
      </c>
      <c r="K11" s="350">
        <f>IF(ISNUMBER((Tasas!E11-Datos!BG11)/Datos!BG11),(Tasas!E11-Datos!BG11)/Datos!BG11," - ")</f>
        <v>0.4835216572504708</v>
      </c>
      <c r="M11" t="e">
        <f>IF(Monitorios="SI",Datos!CE11,0)</f>
        <v>#REF!</v>
      </c>
      <c r="N11" t="e">
        <f>IF(Monitorios="SI",Datos!CF11,0)</f>
        <v>#REF!</v>
      </c>
      <c r="O11" t="e">
        <f>IF(Monitorios="SI",Datos!CG11,0)</f>
        <v>#REF!</v>
      </c>
      <c r="P11" t="e">
        <f>IF(Monitorios="SI",Datos!CH11,0)</f>
        <v>#REF!</v>
      </c>
      <c r="Q11">
        <f>IF(J_V="SI",0,Datos!AG11)</f>
        <v>33</v>
      </c>
      <c r="R11">
        <f>IF(J_V="SI",0,Datos!AH11)</f>
        <v>72</v>
      </c>
      <c r="S11">
        <f>IF(J_V="SI",0,Datos!AI11)</f>
        <v>50</v>
      </c>
      <c r="T11">
        <f>IF(J_V="SI",0,Datos!AJ11)</f>
        <v>55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-0.14211348256116607</v>
      </c>
      <c r="I13" s="356">
        <f>IF(ISNUMBER((Tasas!C13-Datos!BE13)/Datos!BE13),(Tasas!C13-Datos!BE13)/Datos!BE13," - ")</f>
        <v>0.58932956716232743</v>
      </c>
      <c r="J13" s="354">
        <f>IF(ISNUMBER((Tasas!D13-Datos!BF13)/Datos!BF13),(Tasas!D13-Datos!BF13)/Datos!BF13," - ")</f>
        <v>0.66217962946038045</v>
      </c>
      <c r="K13" s="357">
        <f>IF(ISNUMBER((Tasas!E13-Datos!BG13)/Datos!BG13),(Tasas!E13-Datos!BG13)/Datos!BG13," - ")</f>
        <v>0.38663020569498402</v>
      </c>
      <c r="M13" t="e">
        <f>IF(Monitorios="SI",Datos!CE13,0)</f>
        <v>#REF!</v>
      </c>
      <c r="N13" t="e">
        <f>IF(Monitorios="SI",Datos!CF13,0)</f>
        <v>#REF!</v>
      </c>
      <c r="O13" t="e">
        <f>IF(Monitorios="SI",Datos!CG13,0)</f>
        <v>#REF!</v>
      </c>
      <c r="P13" t="e">
        <f>IF(Monitorios="SI",Datos!CH13,0)</f>
        <v>#REF!</v>
      </c>
      <c r="Q13">
        <f>IF(J_V="SI",0,Datos!AG13)</f>
        <v>162</v>
      </c>
      <c r="R13">
        <f>IF(J_V="SI",0,Datos!AH13)</f>
        <v>172</v>
      </c>
      <c r="S13">
        <f>IF(J_V="SI",0,Datos!AI13)</f>
        <v>164</v>
      </c>
      <c r="T13">
        <f>IF(J_V="SI",0,Datos!AJ13)</f>
        <v>168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5.7413879181228158E-2</v>
      </c>
      <c r="E15" s="347">
        <f>IF(ISNUMBER(
   IF(D_I="SI",(Datos!J15-Datos!T15)/Datos!T15,(Datos!J15+Datos!AD15-(Datos!T15+Datos!AL15))/(Datos!T15+Datos!AL15))
     ),IF(D_I="SI",(Datos!J15-Datos!T15)/Datos!T15,(Datos!J15+Datos!AD15-(Datos!T15+Datos!AL15))/(Datos!T15+Datos!AL15))," - ")</f>
        <v>6.7197452229299362E-2</v>
      </c>
      <c r="F15" s="347">
        <f>IF(ISNUMBER(
   IF(D_I="SI",(Datos!K15-Datos!U15)/Datos!U15,(Datos!K15+Datos!AE15-(Datos!U15+Datos!AM15))/(Datos!U15+Datos!AM15))
     ),IF(D_I="SI",(Datos!K15-Datos!U15)/Datos!U15,(Datos!K15+Datos!AE15-(Datos!U15+Datos!AM15))/(Datos!U15+Datos!AM15))," - ")</f>
        <v>4.2961608775137113E-2</v>
      </c>
      <c r="G15" s="348">
        <f>IF(ISNUMBER(
   IF(D_I="SI",(Datos!L15-Datos!V15)/Datos!V15,(Datos!L15+Datos!AF15-(Datos!V15+Datos!AN15))/(Datos!V15+Datos!AN15))
     ),IF(D_I="SI",(Datos!L15-Datos!V15)/Datos!V15,(Datos!L15+Datos!AF15-(Datos!V15+Datos!AN15))/(Datos!V15+Datos!AN15))," - ")</f>
        <v>0.10151753008895865</v>
      </c>
      <c r="H15" s="229">
        <f>IF(ISNUMBER((Datos!M15-Datos!W15)/Datos!W15),(Datos!M15-Datos!W15)/Datos!W15," - ")</f>
        <v>-0.17761989342806395</v>
      </c>
      <c r="I15" s="349">
        <f>IF(ISNUMBER((Tasas!C15-Datos!BE15)/Datos!BE15),(Tasas!C15-Datos!BE15)/Datos!BE15," - ")</f>
        <v>5.6143889498090141E-2</v>
      </c>
      <c r="J15" s="348">
        <f>IF(ISNUMBER((Tasas!D15-Datos!BF15)/Datos!BF15),(Tasas!D15-Datos!BF15)/Datos!BF15," - ")</f>
        <v>-0.21149532288370018</v>
      </c>
      <c r="K15" s="350">
        <f>IF(ISNUMBER((Tasas!E15-Datos!BG15)/Datos!BG15),(Tasas!E15-Datos!BG15)/Datos!BG15," - ")</f>
        <v>1.9584152655609473E-2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-0.94736842105263153</v>
      </c>
      <c r="H17" s="229" t="str">
        <f>IF(ISNUMBER((Datos!M17-Datos!W17)/Datos!W17),(Datos!M17-Datos!W17)/Datos!W17," - ")</f>
        <v xml:space="preserve"> - </v>
      </c>
      <c r="I17" s="349">
        <f>IF(ISNUMBER((Tasas!C17-Datos!BE17)/Datos!BE17),(Tasas!C17-Datos!BE17)/Datos!BE17," - ")</f>
        <v>-0.97368421052631582</v>
      </c>
      <c r="J17" s="348" t="str">
        <f>IF(ISNUMBER((Tasas!D17-Datos!BF17)/Datos!BF17),(Tasas!D17-Datos!BF17)/Datos!BF17," - ")</f>
        <v xml:space="preserve"> - </v>
      </c>
      <c r="K17" s="350">
        <f>IF(ISNUMBER((Tasas!E17-Datos!BG17)/Datos!BG17),(Tasas!E17-Datos!BG17)/Datos!BG17," - ")</f>
        <v>-0.92500000000000004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4.7712739793408752E-2</v>
      </c>
      <c r="E18" s="353">
        <f>IF(ISNUMBER(
   IF(D_I="SI",(Datos!J18-Datos!T18)/Datos!T18,(Datos!J18+Datos!AD18-(Datos!T18+Datos!AL18))/(Datos!T18+Datos!AL18))
     ),IF(D_I="SI",(Datos!J18-Datos!T18)/Datos!T18,(Datos!J18+Datos!AD18-(Datos!T18+Datos!AL18))/(Datos!T18+Datos!AL18))," - ")</f>
        <v>6.7197452229299362E-2</v>
      </c>
      <c r="F18" s="353">
        <f>IF(ISNUMBER(
   IF(D_I="SI",(Datos!K18-Datos!U18)/Datos!U18,(Datos!K18+Datos!AE18-(Datos!U18+Datos!AM18))/(Datos!U18+Datos!AM18))
     ),IF(D_I="SI",(Datos!K18-Datos!U18)/Datos!U18,(Datos!K18+Datos!AE18-(Datos!U18+Datos!AM18))/(Datos!U18+Datos!AM18))," - ")</f>
        <v>4.3253122144380138E-2</v>
      </c>
      <c r="G18" s="354">
        <f>IF(ISNUMBER(
   IF(D_I="SI",(Datos!L18-Datos!V18)/Datos!V18,(Datos!L18+Datos!AF18-(Datos!V18+Datos!AN18))/(Datos!V18+Datos!AN18))
     ),IF(D_I="SI",(Datos!L18-Datos!V18)/Datos!V18,(Datos!L18+Datos!AF18-(Datos!V18+Datos!AN18))/(Datos!V18+Datos!AN18))," - ")</f>
        <v>9.0206185567010308E-2</v>
      </c>
      <c r="H18" s="355">
        <f>IF(ISNUMBER((Datos!M18-Datos!W18)/Datos!W18),(Datos!M18-Datos!W18)/Datos!W18," - ")</f>
        <v>-0.17761989342806395</v>
      </c>
      <c r="I18" s="356">
        <f>IF(ISNUMBER((Tasas!C18-Datos!BE18)/Datos!BE18),(Tasas!C18-Datos!BE18)/Datos!BE18," - ")</f>
        <v>4.500639626758976E-2</v>
      </c>
      <c r="J18" s="354">
        <f>IF(ISNUMBER((Tasas!D18-Datos!BF18)/Datos!BF18),(Tasas!D18-Datos!BF18)/Datos!BF18," - ")</f>
        <v>-0.21171565259104647</v>
      </c>
      <c r="K18" s="357">
        <f>IF(ISNUMBER((Tasas!E18-Datos!BG18)/Datos!BG18),(Tasas!E18-Datos!BG18)/Datos!BG18," - ")</f>
        <v>1.5611548452732505E-2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-3.7366988369215544E-2</v>
      </c>
      <c r="E19" s="362">
        <f>IF(ISNUMBER(
   IF(J_V="SI",(Datos!J19-Datos!T19)/Datos!T19,(Datos!J19+Datos!Z19-(Datos!T19+Datos!AH19))/(Datos!T19+Datos!AH19))
     ),IF(J_V="SI",(Datos!J19-Datos!T19)/Datos!T19,(Datos!J19+Datos!Z19-(Datos!T19+Datos!AH19))/(Datos!T19+Datos!AH19))," - ")</f>
        <v>-9.088252483927528E-2</v>
      </c>
      <c r="F19" s="362">
        <f>IF(ISNUMBER(
   IF(J_V="SI",(Datos!K19-Datos!U19)/Datos!U19,(Datos!K19+Datos!AA19-(Datos!U19+Datos!AI19))/(Datos!U19+Datos!AI19))
     ),IF(J_V="SI",(Datos!K19-Datos!U19)/Datos!U19,(Datos!K19+Datos!AA19-(Datos!U19+Datos!AI19))/(Datos!U19+Datos!AI19))," - ")</f>
        <v>-0.19375227908107451</v>
      </c>
      <c r="G19" s="363">
        <f>IF(ISNUMBER(
   IF(J_V="SI",(Datos!L19-Datos!V19)/Datos!V19,(Datos!L19+Datos!AB19-(Datos!V19+Datos!AJ19))/(Datos!V19+Datos!AJ19))
     ),IF(J_V="SI",(Datos!L19-Datos!V19)/Datos!V19,(Datos!L19+Datos!AB19-(Datos!V19+Datos!AJ19))/(Datos!V19+Datos!AJ19))," - ")</f>
        <v>4.1789396170839467E-2</v>
      </c>
      <c r="H19" s="364">
        <f>IF(ISNUMBER((Datos!M19-Datos!W19)/Datos!W19),(Datos!M19-Datos!W19)/Datos!W19," - ")</f>
        <v>-0.15016103059581321</v>
      </c>
      <c r="I19" s="361">
        <f>IF(ISNUMBER((Tasas!C19-Datos!BE19)/Datos!BE19),(Tasas!C19-Datos!BE19)/Datos!BE19," - ")</f>
        <v>0.29214553931818132</v>
      </c>
      <c r="J19" s="362">
        <f>IF(ISNUMBER((Tasas!D19-Datos!BF19)/Datos!BF19),(Tasas!D19-Datos!BF19)/Datos!BF19," - ")</f>
        <v>0.25217693685969239</v>
      </c>
      <c r="K19" s="363">
        <f>IF(ISNUMBER((Tasas!E19-Datos!BG19)/Datos!BG19),(Tasas!E19-Datos!BG19)/Datos!BG19," - ")</f>
        <v>0.1700158505678542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0.46961009726418151</v>
      </c>
      <c r="E21" s="277">
        <f t="shared" si="1"/>
        <v>0.61614673632306882</v>
      </c>
      <c r="F21" s="277">
        <f t="shared" si="1"/>
        <v>0.81687581419432065</v>
      </c>
      <c r="G21" s="278">
        <f t="shared" si="1"/>
        <v>0.50868269368880892</v>
      </c>
      <c r="H21" s="284">
        <f t="shared" si="1"/>
        <v>0.45565766489610693</v>
      </c>
      <c r="I21" s="276">
        <f t="shared" si="1"/>
        <v>0.6432692162376159</v>
      </c>
      <c r="J21" s="277">
        <f t="shared" si="1"/>
        <v>0.54116856485147646</v>
      </c>
      <c r="K21" s="278">
        <f t="shared" si="1"/>
        <v>0.52236536972206837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dM165z1/BQ7np50Wr4uE0bFjLpE9zkU9qkkW8jGyRXi1bp40jxpz7zA0PL2H6BD3E+bnh9rpiuJV+Avgv3Fng==" saltValue="Srzd4vXFnX7FCjy4o4te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